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mto\Dropbox\CD57\Feuille de résultat\"/>
    </mc:Choice>
  </mc:AlternateContent>
  <xr:revisionPtr revIDLastSave="0" documentId="13_ncr:1_{7894E9AB-DF22-4342-BE2C-C245C5834F33}" xr6:coauthVersionLast="47" xr6:coauthVersionMax="47" xr10:uidLastSave="{00000000-0000-0000-0000-000000000000}"/>
  <bookViews>
    <workbookView xWindow="-120" yWindow="-120" windowWidth="29040" windowHeight="15840" tabRatio="739" activeTab="5" xr2:uid="{00000000-000D-0000-FFFF-FFFF00000000}"/>
  </bookViews>
  <sheets>
    <sheet name="INSCRIPTION DES JOUEURS" sheetId="5" r:id="rId1"/>
    <sheet name="FEUILLE DE RESULTATS" sheetId="6" r:id="rId2"/>
    <sheet name="CLASSEMENT FINAL" sheetId="7" r:id="rId3"/>
    <sheet name="RESULTAT FFBSPORTIF" sheetId="8" state="hidden" r:id="rId4"/>
    <sheet name="RAPPORT" sheetId="11" r:id="rId5"/>
    <sheet name="LISTES JOUEURS" sheetId="9" r:id="rId6"/>
    <sheet name="Feuil1" sheetId="10" state="hidden" r:id="rId7"/>
    <sheet name="Calc Inscription Joueurs" sheetId="1" state="hidden" r:id="rId8"/>
    <sheet name="Calc Feuille de résultats" sheetId="3" state="hidden" r:id="rId9"/>
    <sheet name="Calc Class" sheetId="4" state="hidden" r:id="rId10"/>
    <sheet name="Listing" sheetId="2" state="hidden" r:id="rId11"/>
  </sheets>
  <definedNames>
    <definedName name="BandeN3">Listing!$M$2:$M$41</definedName>
    <definedName name="BandeR1">Listing!$N$2:$N$41</definedName>
    <definedName name="BandeR2">Listing!$O$2:$O$41</definedName>
    <definedName name="CadreN3">Listing!$S$2:$S$41</definedName>
    <definedName name="CadreR1">Listing!$T$2:$T$41</definedName>
    <definedName name="LibreN3">Listing!$H$2:$H$41</definedName>
    <definedName name="LibreR1">Listing!$I$2:$I$41</definedName>
    <definedName name="LibreR2">Listing!$J$2:$J$41</definedName>
    <definedName name="LibreR3">Listing!$K$2:$K$41</definedName>
    <definedName name="LibreR4">Listing!$L$2:$L$41</definedName>
    <definedName name="listeCategorie">Listing!$H$1:$T$1</definedName>
    <definedName name="listeClubs">Listing!$B$2:$B$16</definedName>
    <definedName name="ListeJoueursPrevu">Listing!$A$2:$A$9</definedName>
    <definedName name="ListePoule">'Calc Inscription Joueurs'!$I$8:$J$16</definedName>
    <definedName name="Poule">Listing!$F$2:$F$5</definedName>
    <definedName name="TabBandeN3">Listing!$M$2:$M$7</definedName>
    <definedName name="TabDistance">Listing!$C$2:$D$14</definedName>
    <definedName name="TabLibreN3">Listing!$H$2:$H$6</definedName>
    <definedName name="TabLibreR1">Listing!$I$2:$I$7</definedName>
    <definedName name="TabLibreR2">Listing!$J$2:$J$15</definedName>
    <definedName name="TroisBandesN3">Listing!$P$2:$P$41</definedName>
    <definedName name="TroisBandesR1">Listing!$Q$2:$Q$41</definedName>
    <definedName name="TroisBandesR2">Listing!$R$2:$R$41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B24" i="3"/>
  <c r="AB16" i="3"/>
  <c r="AB15" i="3"/>
  <c r="AB7" i="3"/>
  <c r="AB6" i="3"/>
  <c r="R25" i="3"/>
  <c r="R24" i="3"/>
  <c r="BH6" i="5"/>
  <c r="BH7" i="5"/>
  <c r="BH8" i="5"/>
  <c r="BH9" i="5"/>
  <c r="BH10" i="5"/>
  <c r="BH11" i="5"/>
  <c r="BH12" i="5"/>
  <c r="BH13" i="5"/>
  <c r="BH14" i="5"/>
  <c r="BH15" i="5"/>
  <c r="BH16" i="5"/>
  <c r="BH17" i="5"/>
  <c r="BH20" i="5"/>
  <c r="BH21" i="5"/>
  <c r="BH22" i="5"/>
  <c r="BH23" i="5"/>
  <c r="BH24" i="5"/>
  <c r="BH25" i="5"/>
  <c r="BH26" i="5"/>
  <c r="BH5" i="5"/>
  <c r="BE22" i="5"/>
  <c r="BE23" i="5"/>
  <c r="BE24" i="5"/>
  <c r="BE25" i="5"/>
  <c r="BE26" i="5"/>
  <c r="BE21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5" i="5"/>
  <c r="B6" i="11" l="1"/>
  <c r="B5" i="11"/>
  <c r="B4" i="11"/>
  <c r="AL20" i="5"/>
  <c r="AK32" i="5"/>
  <c r="AK31" i="5"/>
  <c r="AK30" i="5"/>
  <c r="AK27" i="5"/>
  <c r="AK26" i="5"/>
  <c r="AK25" i="5"/>
  <c r="AK22" i="5"/>
  <c r="AK21" i="5"/>
  <c r="AK20" i="5"/>
  <c r="AL31" i="5"/>
  <c r="AL32" i="5"/>
  <c r="AL26" i="5"/>
  <c r="AL27" i="5"/>
  <c r="AL30" i="5"/>
  <c r="AL25" i="5"/>
  <c r="AL22" i="5"/>
  <c r="AL21" i="5"/>
  <c r="D32" i="5"/>
  <c r="B501" i="9"/>
  <c r="D501" i="9"/>
  <c r="C501" i="9" s="1"/>
  <c r="B502" i="9"/>
  <c r="D502" i="9"/>
  <c r="C502" i="9" s="1"/>
  <c r="B503" i="9"/>
  <c r="D503" i="9"/>
  <c r="C503" i="9" s="1"/>
  <c r="B504" i="9"/>
  <c r="D504" i="9"/>
  <c r="C504" i="9" s="1"/>
  <c r="B505" i="9"/>
  <c r="D505" i="9"/>
  <c r="C505" i="9" s="1"/>
  <c r="B506" i="9"/>
  <c r="D506" i="9"/>
  <c r="C506" i="9" s="1"/>
  <c r="B507" i="9"/>
  <c r="C507" i="9"/>
  <c r="D507" i="9"/>
  <c r="B508" i="9"/>
  <c r="D508" i="9"/>
  <c r="C508" i="9" s="1"/>
  <c r="B509" i="9"/>
  <c r="D509" i="9"/>
  <c r="C509" i="9" s="1"/>
  <c r="B510" i="9"/>
  <c r="D510" i="9"/>
  <c r="C510" i="9" s="1"/>
  <c r="B511" i="9"/>
  <c r="D511" i="9"/>
  <c r="C511" i="9" s="1"/>
  <c r="B512" i="9"/>
  <c r="D512" i="9"/>
  <c r="C512" i="9" s="1"/>
  <c r="B513" i="9"/>
  <c r="D513" i="9"/>
  <c r="C513" i="9" s="1"/>
  <c r="B514" i="9"/>
  <c r="D514" i="9"/>
  <c r="C514" i="9" s="1"/>
  <c r="B515" i="9"/>
  <c r="D515" i="9"/>
  <c r="C515" i="9" s="1"/>
  <c r="B516" i="9"/>
  <c r="D516" i="9"/>
  <c r="C516" i="9" s="1"/>
  <c r="B517" i="9"/>
  <c r="D517" i="9"/>
  <c r="C517" i="9" s="1"/>
  <c r="B518" i="9"/>
  <c r="D518" i="9"/>
  <c r="C518" i="9" s="1"/>
  <c r="B519" i="9"/>
  <c r="D519" i="9"/>
  <c r="C519" i="9" s="1"/>
  <c r="B520" i="9"/>
  <c r="D520" i="9"/>
  <c r="C520" i="9" s="1"/>
  <c r="B521" i="9"/>
  <c r="D521" i="9"/>
  <c r="C521" i="9" s="1"/>
  <c r="B522" i="9"/>
  <c r="D522" i="9"/>
  <c r="C522" i="9" s="1"/>
  <c r="B523" i="9"/>
  <c r="D523" i="9"/>
  <c r="C523" i="9" s="1"/>
  <c r="B524" i="9"/>
  <c r="D524" i="9"/>
  <c r="C524" i="9" s="1"/>
  <c r="B525" i="9"/>
  <c r="D525" i="9"/>
  <c r="C525" i="9" s="1"/>
  <c r="B526" i="9"/>
  <c r="D526" i="9"/>
  <c r="C526" i="9" s="1"/>
  <c r="B527" i="9"/>
  <c r="D527" i="9"/>
  <c r="C527" i="9" s="1"/>
  <c r="B528" i="9"/>
  <c r="D528" i="9"/>
  <c r="C528" i="9" s="1"/>
  <c r="B529" i="9"/>
  <c r="D529" i="9"/>
  <c r="C529" i="9" s="1"/>
  <c r="B530" i="9"/>
  <c r="D530" i="9"/>
  <c r="C530" i="9" s="1"/>
  <c r="B531" i="9"/>
  <c r="C531" i="9"/>
  <c r="D531" i="9"/>
  <c r="B532" i="9"/>
  <c r="D532" i="9"/>
  <c r="C532" i="9" s="1"/>
  <c r="B533" i="9"/>
  <c r="D533" i="9"/>
  <c r="C533" i="9" s="1"/>
  <c r="B534" i="9"/>
  <c r="D534" i="9"/>
  <c r="C534" i="9" s="1"/>
  <c r="B535" i="9"/>
  <c r="D535" i="9"/>
  <c r="C535" i="9" s="1"/>
  <c r="B536" i="9"/>
  <c r="D536" i="9"/>
  <c r="C536" i="9" s="1"/>
  <c r="B537" i="9"/>
  <c r="D537" i="9"/>
  <c r="C537" i="9" s="1"/>
  <c r="D500" i="9"/>
  <c r="C500" i="9" s="1"/>
  <c r="B500" i="9"/>
  <c r="B463" i="9"/>
  <c r="D463" i="9"/>
  <c r="C463" i="9" s="1"/>
  <c r="B464" i="9"/>
  <c r="D464" i="9"/>
  <c r="C464" i="9" s="1"/>
  <c r="B465" i="9"/>
  <c r="D465" i="9"/>
  <c r="C465" i="9" s="1"/>
  <c r="B466" i="9"/>
  <c r="D466" i="9"/>
  <c r="C466" i="9" s="1"/>
  <c r="B467" i="9"/>
  <c r="D467" i="9"/>
  <c r="C467" i="9" s="1"/>
  <c r="B468" i="9"/>
  <c r="D468" i="9"/>
  <c r="C468" i="9" s="1"/>
  <c r="B469" i="9"/>
  <c r="D469" i="9"/>
  <c r="C469" i="9" s="1"/>
  <c r="B470" i="9"/>
  <c r="D470" i="9"/>
  <c r="C470" i="9" s="1"/>
  <c r="B471" i="9"/>
  <c r="D471" i="9"/>
  <c r="C471" i="9" s="1"/>
  <c r="B472" i="9"/>
  <c r="D472" i="9"/>
  <c r="C472" i="9" s="1"/>
  <c r="B473" i="9"/>
  <c r="D473" i="9"/>
  <c r="C473" i="9" s="1"/>
  <c r="B474" i="9"/>
  <c r="D474" i="9"/>
  <c r="C474" i="9" s="1"/>
  <c r="B475" i="9"/>
  <c r="D475" i="9"/>
  <c r="C475" i="9" s="1"/>
  <c r="B476" i="9"/>
  <c r="D476" i="9"/>
  <c r="C476" i="9" s="1"/>
  <c r="B477" i="9"/>
  <c r="D477" i="9"/>
  <c r="C477" i="9" s="1"/>
  <c r="B478" i="9"/>
  <c r="D478" i="9"/>
  <c r="C478" i="9" s="1"/>
  <c r="B479" i="9"/>
  <c r="D479" i="9"/>
  <c r="C479" i="9" s="1"/>
  <c r="B480" i="9"/>
  <c r="D480" i="9"/>
  <c r="C480" i="9" s="1"/>
  <c r="B481" i="9"/>
  <c r="D481" i="9"/>
  <c r="C481" i="9" s="1"/>
  <c r="B482" i="9"/>
  <c r="D482" i="9"/>
  <c r="C482" i="9" s="1"/>
  <c r="B483" i="9"/>
  <c r="D483" i="9"/>
  <c r="C483" i="9" s="1"/>
  <c r="B484" i="9"/>
  <c r="D484" i="9"/>
  <c r="C484" i="9" s="1"/>
  <c r="B485" i="9"/>
  <c r="D485" i="9"/>
  <c r="C485" i="9" s="1"/>
  <c r="B486" i="9"/>
  <c r="D486" i="9"/>
  <c r="C486" i="9" s="1"/>
  <c r="B487" i="9"/>
  <c r="D487" i="9"/>
  <c r="C487" i="9" s="1"/>
  <c r="B488" i="9"/>
  <c r="D488" i="9"/>
  <c r="C488" i="9" s="1"/>
  <c r="B489" i="9"/>
  <c r="D489" i="9"/>
  <c r="C489" i="9" s="1"/>
  <c r="B490" i="9"/>
  <c r="D490" i="9"/>
  <c r="C490" i="9" s="1"/>
  <c r="B491" i="9"/>
  <c r="D491" i="9"/>
  <c r="C491" i="9" s="1"/>
  <c r="B492" i="9"/>
  <c r="D492" i="9"/>
  <c r="C492" i="9" s="1"/>
  <c r="B493" i="9"/>
  <c r="D493" i="9"/>
  <c r="C493" i="9" s="1"/>
  <c r="B494" i="9"/>
  <c r="D494" i="9"/>
  <c r="C494" i="9" s="1"/>
  <c r="B495" i="9"/>
  <c r="C495" i="9"/>
  <c r="D495" i="9"/>
  <c r="B496" i="9"/>
  <c r="D496" i="9"/>
  <c r="C496" i="9" s="1"/>
  <c r="B497" i="9"/>
  <c r="C497" i="9"/>
  <c r="D497" i="9"/>
  <c r="B498" i="9"/>
  <c r="D498" i="9"/>
  <c r="C498" i="9" s="1"/>
  <c r="B499" i="9"/>
  <c r="D499" i="9"/>
  <c r="C499" i="9" s="1"/>
  <c r="D462" i="9"/>
  <c r="C462" i="9" s="1"/>
  <c r="B462" i="9"/>
  <c r="B425" i="9"/>
  <c r="D425" i="9"/>
  <c r="C425" i="9" s="1"/>
  <c r="B426" i="9"/>
  <c r="D426" i="9"/>
  <c r="C426" i="9" s="1"/>
  <c r="B427" i="9"/>
  <c r="D427" i="9"/>
  <c r="C427" i="9" s="1"/>
  <c r="B428" i="9"/>
  <c r="D428" i="9"/>
  <c r="C428" i="9" s="1"/>
  <c r="B429" i="9"/>
  <c r="D429" i="9"/>
  <c r="C429" i="9" s="1"/>
  <c r="B430" i="9"/>
  <c r="D430" i="9"/>
  <c r="C430" i="9" s="1"/>
  <c r="B431" i="9"/>
  <c r="D431" i="9"/>
  <c r="C431" i="9" s="1"/>
  <c r="B432" i="9"/>
  <c r="D432" i="9"/>
  <c r="C432" i="9" s="1"/>
  <c r="B433" i="9"/>
  <c r="D433" i="9"/>
  <c r="C433" i="9" s="1"/>
  <c r="B434" i="9"/>
  <c r="D434" i="9"/>
  <c r="C434" i="9" s="1"/>
  <c r="B435" i="9"/>
  <c r="D435" i="9"/>
  <c r="C435" i="9" s="1"/>
  <c r="B436" i="9"/>
  <c r="D436" i="9"/>
  <c r="C436" i="9" s="1"/>
  <c r="B437" i="9"/>
  <c r="D437" i="9"/>
  <c r="C437" i="9" s="1"/>
  <c r="B438" i="9"/>
  <c r="D438" i="9"/>
  <c r="C438" i="9" s="1"/>
  <c r="B439" i="9"/>
  <c r="D439" i="9"/>
  <c r="C439" i="9" s="1"/>
  <c r="B440" i="9"/>
  <c r="D440" i="9"/>
  <c r="C440" i="9" s="1"/>
  <c r="B441" i="9"/>
  <c r="D441" i="9"/>
  <c r="C441" i="9" s="1"/>
  <c r="B442" i="9"/>
  <c r="D442" i="9"/>
  <c r="C442" i="9" s="1"/>
  <c r="B443" i="9"/>
  <c r="D443" i="9"/>
  <c r="C443" i="9" s="1"/>
  <c r="B444" i="9"/>
  <c r="D444" i="9"/>
  <c r="C444" i="9" s="1"/>
  <c r="B445" i="9"/>
  <c r="D445" i="9"/>
  <c r="C445" i="9" s="1"/>
  <c r="B446" i="9"/>
  <c r="D446" i="9"/>
  <c r="C446" i="9" s="1"/>
  <c r="B447" i="9"/>
  <c r="D447" i="9"/>
  <c r="C447" i="9" s="1"/>
  <c r="B448" i="9"/>
  <c r="D448" i="9"/>
  <c r="C448" i="9" s="1"/>
  <c r="B449" i="9"/>
  <c r="D449" i="9"/>
  <c r="C449" i="9" s="1"/>
  <c r="B450" i="9"/>
  <c r="D450" i="9"/>
  <c r="C450" i="9" s="1"/>
  <c r="B451" i="9"/>
  <c r="D451" i="9"/>
  <c r="C451" i="9" s="1"/>
  <c r="B452" i="9"/>
  <c r="D452" i="9"/>
  <c r="C452" i="9" s="1"/>
  <c r="B453" i="9"/>
  <c r="D453" i="9"/>
  <c r="C453" i="9" s="1"/>
  <c r="B454" i="9"/>
  <c r="D454" i="9"/>
  <c r="C454" i="9" s="1"/>
  <c r="B455" i="9"/>
  <c r="C455" i="9"/>
  <c r="D455" i="9"/>
  <c r="B456" i="9"/>
  <c r="D456" i="9"/>
  <c r="C456" i="9" s="1"/>
  <c r="B457" i="9"/>
  <c r="D457" i="9"/>
  <c r="C457" i="9" s="1"/>
  <c r="B458" i="9"/>
  <c r="D458" i="9"/>
  <c r="C458" i="9" s="1"/>
  <c r="B459" i="9"/>
  <c r="C459" i="9"/>
  <c r="D459" i="9"/>
  <c r="B460" i="9"/>
  <c r="D460" i="9"/>
  <c r="C460" i="9" s="1"/>
  <c r="B461" i="9"/>
  <c r="D461" i="9"/>
  <c r="C461" i="9" s="1"/>
  <c r="D424" i="9"/>
  <c r="C424" i="9" s="1"/>
  <c r="B424" i="9"/>
  <c r="B387" i="9"/>
  <c r="D387" i="9"/>
  <c r="C387" i="9" s="1"/>
  <c r="B388" i="9"/>
  <c r="D388" i="9"/>
  <c r="C388" i="9" s="1"/>
  <c r="B389" i="9"/>
  <c r="D389" i="9"/>
  <c r="C389" i="9" s="1"/>
  <c r="B390" i="9"/>
  <c r="D390" i="9"/>
  <c r="C390" i="9" s="1"/>
  <c r="B391" i="9"/>
  <c r="D391" i="9"/>
  <c r="C391" i="9" s="1"/>
  <c r="B392" i="9"/>
  <c r="D392" i="9"/>
  <c r="C392" i="9" s="1"/>
  <c r="B393" i="9"/>
  <c r="D393" i="9"/>
  <c r="C393" i="9" s="1"/>
  <c r="B394" i="9"/>
  <c r="D394" i="9"/>
  <c r="C394" i="9" s="1"/>
  <c r="B395" i="9"/>
  <c r="D395" i="9"/>
  <c r="C395" i="9" s="1"/>
  <c r="B396" i="9"/>
  <c r="D396" i="9"/>
  <c r="C396" i="9" s="1"/>
  <c r="B397" i="9"/>
  <c r="D397" i="9"/>
  <c r="C397" i="9" s="1"/>
  <c r="B398" i="9"/>
  <c r="D398" i="9"/>
  <c r="C398" i="9" s="1"/>
  <c r="B399" i="9"/>
  <c r="D399" i="9"/>
  <c r="C399" i="9" s="1"/>
  <c r="B400" i="9"/>
  <c r="D400" i="9"/>
  <c r="C400" i="9" s="1"/>
  <c r="B401" i="9"/>
  <c r="D401" i="9"/>
  <c r="C401" i="9" s="1"/>
  <c r="B402" i="9"/>
  <c r="D402" i="9"/>
  <c r="C402" i="9" s="1"/>
  <c r="B403" i="9"/>
  <c r="D403" i="9"/>
  <c r="C403" i="9" s="1"/>
  <c r="B404" i="9"/>
  <c r="D404" i="9"/>
  <c r="C404" i="9" s="1"/>
  <c r="B405" i="9"/>
  <c r="D405" i="9"/>
  <c r="C405" i="9" s="1"/>
  <c r="B406" i="9"/>
  <c r="D406" i="9"/>
  <c r="C406" i="9" s="1"/>
  <c r="B407" i="9"/>
  <c r="D407" i="9"/>
  <c r="C407" i="9" s="1"/>
  <c r="B408" i="9"/>
  <c r="D408" i="9"/>
  <c r="C408" i="9" s="1"/>
  <c r="B409" i="9"/>
  <c r="D409" i="9"/>
  <c r="C409" i="9" s="1"/>
  <c r="B410" i="9"/>
  <c r="C410" i="9"/>
  <c r="D410" i="9"/>
  <c r="B411" i="9"/>
  <c r="D411" i="9"/>
  <c r="C411" i="9" s="1"/>
  <c r="B412" i="9"/>
  <c r="D412" i="9"/>
  <c r="C412" i="9" s="1"/>
  <c r="B413" i="9"/>
  <c r="D413" i="9"/>
  <c r="C413" i="9" s="1"/>
  <c r="B414" i="9"/>
  <c r="D414" i="9"/>
  <c r="C414" i="9" s="1"/>
  <c r="B415" i="9"/>
  <c r="D415" i="9"/>
  <c r="C415" i="9" s="1"/>
  <c r="B416" i="9"/>
  <c r="D416" i="9"/>
  <c r="C416" i="9" s="1"/>
  <c r="B417" i="9"/>
  <c r="C417" i="9"/>
  <c r="D417" i="9"/>
  <c r="B418" i="9"/>
  <c r="C418" i="9"/>
  <c r="D418" i="9"/>
  <c r="B419" i="9"/>
  <c r="D419" i="9"/>
  <c r="C419" i="9" s="1"/>
  <c r="B420" i="9"/>
  <c r="D420" i="9"/>
  <c r="C420" i="9" s="1"/>
  <c r="B421" i="9"/>
  <c r="D421" i="9"/>
  <c r="C421" i="9" s="1"/>
  <c r="B422" i="9"/>
  <c r="D422" i="9"/>
  <c r="C422" i="9" s="1"/>
  <c r="B423" i="9"/>
  <c r="D423" i="9"/>
  <c r="C423" i="9" s="1"/>
  <c r="C386" i="9"/>
  <c r="D386" i="9"/>
  <c r="B386" i="9"/>
  <c r="B349" i="9"/>
  <c r="D349" i="9"/>
  <c r="C349" i="9" s="1"/>
  <c r="B350" i="9"/>
  <c r="D350" i="9"/>
  <c r="C350" i="9" s="1"/>
  <c r="B351" i="9"/>
  <c r="D351" i="9"/>
  <c r="C351" i="9" s="1"/>
  <c r="B352" i="9"/>
  <c r="D352" i="9"/>
  <c r="C352" i="9" s="1"/>
  <c r="B353" i="9"/>
  <c r="D353" i="9"/>
  <c r="C353" i="9" s="1"/>
  <c r="B354" i="9"/>
  <c r="D354" i="9"/>
  <c r="C354" i="9" s="1"/>
  <c r="B355" i="9"/>
  <c r="D355" i="9"/>
  <c r="C355" i="9" s="1"/>
  <c r="B356" i="9"/>
  <c r="D356" i="9"/>
  <c r="C356" i="9" s="1"/>
  <c r="B357" i="9"/>
  <c r="D357" i="9"/>
  <c r="C357" i="9" s="1"/>
  <c r="B358" i="9"/>
  <c r="D358" i="9"/>
  <c r="C358" i="9" s="1"/>
  <c r="B359" i="9"/>
  <c r="D359" i="9"/>
  <c r="C359" i="9" s="1"/>
  <c r="B360" i="9"/>
  <c r="D360" i="9"/>
  <c r="C360" i="9" s="1"/>
  <c r="B361" i="9"/>
  <c r="D361" i="9"/>
  <c r="C361" i="9" s="1"/>
  <c r="B362" i="9"/>
  <c r="D362" i="9"/>
  <c r="C362" i="9" s="1"/>
  <c r="B363" i="9"/>
  <c r="D363" i="9"/>
  <c r="C363" i="9" s="1"/>
  <c r="B364" i="9"/>
  <c r="D364" i="9"/>
  <c r="C364" i="9" s="1"/>
  <c r="B365" i="9"/>
  <c r="D365" i="9"/>
  <c r="C365" i="9" s="1"/>
  <c r="B366" i="9"/>
  <c r="D366" i="9"/>
  <c r="C366" i="9" s="1"/>
  <c r="B367" i="9"/>
  <c r="D367" i="9"/>
  <c r="C367" i="9" s="1"/>
  <c r="B368" i="9"/>
  <c r="D368" i="9"/>
  <c r="C368" i="9" s="1"/>
  <c r="B369" i="9"/>
  <c r="D369" i="9"/>
  <c r="C369" i="9" s="1"/>
  <c r="B370" i="9"/>
  <c r="D370" i="9"/>
  <c r="C370" i="9" s="1"/>
  <c r="B371" i="9"/>
  <c r="D371" i="9"/>
  <c r="C371" i="9" s="1"/>
  <c r="B372" i="9"/>
  <c r="D372" i="9"/>
  <c r="C372" i="9" s="1"/>
  <c r="B373" i="9"/>
  <c r="D373" i="9"/>
  <c r="C373" i="9" s="1"/>
  <c r="B374" i="9"/>
  <c r="D374" i="9"/>
  <c r="C374" i="9" s="1"/>
  <c r="B375" i="9"/>
  <c r="D375" i="9"/>
  <c r="C375" i="9" s="1"/>
  <c r="B376" i="9"/>
  <c r="D376" i="9"/>
  <c r="C376" i="9" s="1"/>
  <c r="B377" i="9"/>
  <c r="D377" i="9"/>
  <c r="C377" i="9" s="1"/>
  <c r="B378" i="9"/>
  <c r="C378" i="9"/>
  <c r="D378" i="9"/>
  <c r="B379" i="9"/>
  <c r="D379" i="9"/>
  <c r="C379" i="9" s="1"/>
  <c r="B380" i="9"/>
  <c r="D380" i="9"/>
  <c r="C380" i="9" s="1"/>
  <c r="B381" i="9"/>
  <c r="C381" i="9"/>
  <c r="D381" i="9"/>
  <c r="B382" i="9"/>
  <c r="D382" i="9"/>
  <c r="C382" i="9" s="1"/>
  <c r="B383" i="9"/>
  <c r="D383" i="9"/>
  <c r="C383" i="9" s="1"/>
  <c r="B384" i="9"/>
  <c r="D384" i="9"/>
  <c r="C384" i="9" s="1"/>
  <c r="B385" i="9"/>
  <c r="D385" i="9"/>
  <c r="C385" i="9" s="1"/>
  <c r="D348" i="9"/>
  <c r="C348" i="9" s="1"/>
  <c r="B348" i="9"/>
  <c r="B311" i="9"/>
  <c r="D311" i="9"/>
  <c r="C311" i="9" s="1"/>
  <c r="B312" i="9"/>
  <c r="D312" i="9"/>
  <c r="C312" i="9" s="1"/>
  <c r="B313" i="9"/>
  <c r="D313" i="9"/>
  <c r="C313" i="9" s="1"/>
  <c r="B314" i="9"/>
  <c r="D314" i="9"/>
  <c r="C314" i="9" s="1"/>
  <c r="B315" i="9"/>
  <c r="D315" i="9"/>
  <c r="C315" i="9" s="1"/>
  <c r="B316" i="9"/>
  <c r="C316" i="9"/>
  <c r="D316" i="9"/>
  <c r="B317" i="9"/>
  <c r="D317" i="9"/>
  <c r="C317" i="9" s="1"/>
  <c r="B318" i="9"/>
  <c r="D318" i="9"/>
  <c r="C318" i="9" s="1"/>
  <c r="B319" i="9"/>
  <c r="D319" i="9"/>
  <c r="C319" i="9" s="1"/>
  <c r="D27" i="5" s="1"/>
  <c r="B320" i="9"/>
  <c r="D320" i="9"/>
  <c r="C320" i="9" s="1"/>
  <c r="B321" i="9"/>
  <c r="D321" i="9"/>
  <c r="C321" i="9" s="1"/>
  <c r="B322" i="9"/>
  <c r="D322" i="9"/>
  <c r="C322" i="9" s="1"/>
  <c r="B323" i="9"/>
  <c r="D323" i="9"/>
  <c r="C323" i="9" s="1"/>
  <c r="B324" i="9"/>
  <c r="D324" i="9"/>
  <c r="C324" i="9" s="1"/>
  <c r="B325" i="9"/>
  <c r="D325" i="9"/>
  <c r="C325" i="9" s="1"/>
  <c r="B326" i="9"/>
  <c r="D326" i="9"/>
  <c r="C326" i="9" s="1"/>
  <c r="B327" i="9"/>
  <c r="D327" i="9"/>
  <c r="C327" i="9" s="1"/>
  <c r="B328" i="9"/>
  <c r="D328" i="9"/>
  <c r="C328" i="9" s="1"/>
  <c r="B329" i="9"/>
  <c r="D329" i="9"/>
  <c r="C329" i="9" s="1"/>
  <c r="B330" i="9"/>
  <c r="D330" i="9"/>
  <c r="C330" i="9" s="1"/>
  <c r="B331" i="9"/>
  <c r="D331" i="9"/>
  <c r="C331" i="9" s="1"/>
  <c r="B332" i="9"/>
  <c r="D332" i="9"/>
  <c r="C332" i="9" s="1"/>
  <c r="B333" i="9"/>
  <c r="D333" i="9"/>
  <c r="C333" i="9" s="1"/>
  <c r="B334" i="9"/>
  <c r="D334" i="9"/>
  <c r="C334" i="9" s="1"/>
  <c r="B335" i="9"/>
  <c r="D335" i="9"/>
  <c r="C335" i="9" s="1"/>
  <c r="B336" i="9"/>
  <c r="D336" i="9"/>
  <c r="C336" i="9" s="1"/>
  <c r="B337" i="9"/>
  <c r="D337" i="9"/>
  <c r="C337" i="9" s="1"/>
  <c r="B338" i="9"/>
  <c r="D338" i="9"/>
  <c r="C338" i="9" s="1"/>
  <c r="B339" i="9"/>
  <c r="D339" i="9"/>
  <c r="C339" i="9" s="1"/>
  <c r="B340" i="9"/>
  <c r="D340" i="9"/>
  <c r="C340" i="9" s="1"/>
  <c r="B341" i="9"/>
  <c r="D341" i="9"/>
  <c r="C341" i="9" s="1"/>
  <c r="B342" i="9"/>
  <c r="C342" i="9"/>
  <c r="D342" i="9"/>
  <c r="B343" i="9"/>
  <c r="D343" i="9"/>
  <c r="C343" i="9" s="1"/>
  <c r="B344" i="9"/>
  <c r="D344" i="9"/>
  <c r="C344" i="9" s="1"/>
  <c r="B345" i="9"/>
  <c r="D345" i="9"/>
  <c r="C345" i="9" s="1"/>
  <c r="B346" i="9"/>
  <c r="D346" i="9"/>
  <c r="C346" i="9" s="1"/>
  <c r="B347" i="9"/>
  <c r="D347" i="9"/>
  <c r="C347" i="9" s="1"/>
  <c r="D310" i="9"/>
  <c r="C310" i="9" s="1"/>
  <c r="B310" i="9"/>
  <c r="B273" i="9"/>
  <c r="D273" i="9"/>
  <c r="C273" i="9" s="1"/>
  <c r="B274" i="9"/>
  <c r="D274" i="9"/>
  <c r="C274" i="9" s="1"/>
  <c r="B275" i="9"/>
  <c r="D275" i="9"/>
  <c r="C275" i="9" s="1"/>
  <c r="B276" i="9"/>
  <c r="D276" i="9"/>
  <c r="C276" i="9" s="1"/>
  <c r="B277" i="9"/>
  <c r="D277" i="9"/>
  <c r="C277" i="9" s="1"/>
  <c r="B278" i="9"/>
  <c r="D278" i="9"/>
  <c r="C278" i="9" s="1"/>
  <c r="B279" i="9"/>
  <c r="D279" i="9"/>
  <c r="C279" i="9" s="1"/>
  <c r="B280" i="9"/>
  <c r="D280" i="9"/>
  <c r="C280" i="9" s="1"/>
  <c r="B281" i="9"/>
  <c r="D281" i="9"/>
  <c r="C281" i="9" s="1"/>
  <c r="B282" i="9"/>
  <c r="D282" i="9"/>
  <c r="C282" i="9" s="1"/>
  <c r="B283" i="9"/>
  <c r="D283" i="9"/>
  <c r="C283" i="9" s="1"/>
  <c r="B284" i="9"/>
  <c r="D284" i="9"/>
  <c r="C284" i="9" s="1"/>
  <c r="B285" i="9"/>
  <c r="D285" i="9"/>
  <c r="C285" i="9" s="1"/>
  <c r="B286" i="9"/>
  <c r="D286" i="9"/>
  <c r="C286" i="9" s="1"/>
  <c r="B287" i="9"/>
  <c r="D287" i="9"/>
  <c r="C287" i="9" s="1"/>
  <c r="B288" i="9"/>
  <c r="C288" i="9"/>
  <c r="D288" i="9"/>
  <c r="B289" i="9"/>
  <c r="D289" i="9"/>
  <c r="C289" i="9" s="1"/>
  <c r="B290" i="9"/>
  <c r="D290" i="9"/>
  <c r="C290" i="9" s="1"/>
  <c r="B291" i="9"/>
  <c r="D291" i="9"/>
  <c r="C291" i="9" s="1"/>
  <c r="B292" i="9"/>
  <c r="D292" i="9"/>
  <c r="C292" i="9" s="1"/>
  <c r="B293" i="9"/>
  <c r="D293" i="9"/>
  <c r="C293" i="9" s="1"/>
  <c r="B294" i="9"/>
  <c r="C294" i="9"/>
  <c r="D294" i="9"/>
  <c r="B295" i="9"/>
  <c r="D295" i="9"/>
  <c r="C295" i="9" s="1"/>
  <c r="B296" i="9"/>
  <c r="D296" i="9"/>
  <c r="C296" i="9" s="1"/>
  <c r="B297" i="9"/>
  <c r="D297" i="9"/>
  <c r="C297" i="9" s="1"/>
  <c r="B298" i="9"/>
  <c r="D298" i="9"/>
  <c r="C298" i="9" s="1"/>
  <c r="B299" i="9"/>
  <c r="D299" i="9"/>
  <c r="C299" i="9" s="1"/>
  <c r="B300" i="9"/>
  <c r="D300" i="9"/>
  <c r="C300" i="9" s="1"/>
  <c r="B301" i="9"/>
  <c r="D301" i="9"/>
  <c r="C301" i="9" s="1"/>
  <c r="B302" i="9"/>
  <c r="D302" i="9"/>
  <c r="C302" i="9" s="1"/>
  <c r="B303" i="9"/>
  <c r="D303" i="9"/>
  <c r="C303" i="9" s="1"/>
  <c r="B304" i="9"/>
  <c r="C304" i="9"/>
  <c r="D304" i="9"/>
  <c r="B305" i="9"/>
  <c r="D305" i="9"/>
  <c r="C305" i="9" s="1"/>
  <c r="B306" i="9"/>
  <c r="D306" i="9"/>
  <c r="C306" i="9" s="1"/>
  <c r="B307" i="9"/>
  <c r="D307" i="9"/>
  <c r="C307" i="9" s="1"/>
  <c r="B308" i="9"/>
  <c r="D308" i="9"/>
  <c r="C308" i="9" s="1"/>
  <c r="B309" i="9"/>
  <c r="D309" i="9"/>
  <c r="C309" i="9" s="1"/>
  <c r="D272" i="9"/>
  <c r="B272" i="9"/>
  <c r="B235" i="9"/>
  <c r="D235" i="9"/>
  <c r="C235" i="9" s="1"/>
  <c r="B236" i="9"/>
  <c r="D236" i="9"/>
  <c r="C236" i="9" s="1"/>
  <c r="B237" i="9"/>
  <c r="D237" i="9"/>
  <c r="C237" i="9" s="1"/>
  <c r="B238" i="9"/>
  <c r="D238" i="9"/>
  <c r="C238" i="9" s="1"/>
  <c r="B239" i="9"/>
  <c r="D239" i="9"/>
  <c r="C239" i="9" s="1"/>
  <c r="B240" i="9"/>
  <c r="D240" i="9"/>
  <c r="C240" i="9" s="1"/>
  <c r="B241" i="9"/>
  <c r="D241" i="9"/>
  <c r="C241" i="9" s="1"/>
  <c r="B242" i="9"/>
  <c r="D242" i="9"/>
  <c r="C242" i="9" s="1"/>
  <c r="B243" i="9"/>
  <c r="D243" i="9"/>
  <c r="C243" i="9" s="1"/>
  <c r="B244" i="9"/>
  <c r="D244" i="9"/>
  <c r="C244" i="9" s="1"/>
  <c r="B245" i="9"/>
  <c r="D245" i="9"/>
  <c r="C245" i="9" s="1"/>
  <c r="B246" i="9"/>
  <c r="D246" i="9"/>
  <c r="C246" i="9" s="1"/>
  <c r="B247" i="9"/>
  <c r="D247" i="9"/>
  <c r="C247" i="9" s="1"/>
  <c r="B248" i="9"/>
  <c r="D248" i="9"/>
  <c r="C248" i="9" s="1"/>
  <c r="B249" i="9"/>
  <c r="C249" i="9"/>
  <c r="D249" i="9"/>
  <c r="B250" i="9"/>
  <c r="D250" i="9"/>
  <c r="C250" i="9" s="1"/>
  <c r="B251" i="9"/>
  <c r="D251" i="9"/>
  <c r="C251" i="9" s="1"/>
  <c r="B252" i="9"/>
  <c r="D252" i="9"/>
  <c r="C252" i="9" s="1"/>
  <c r="B253" i="9"/>
  <c r="D253" i="9"/>
  <c r="C253" i="9" s="1"/>
  <c r="B254" i="9"/>
  <c r="D254" i="9"/>
  <c r="C254" i="9" s="1"/>
  <c r="B255" i="9"/>
  <c r="D255" i="9"/>
  <c r="C255" i="9" s="1"/>
  <c r="B256" i="9"/>
  <c r="D256" i="9"/>
  <c r="C256" i="9" s="1"/>
  <c r="B257" i="9"/>
  <c r="D257" i="9"/>
  <c r="C257" i="9" s="1"/>
  <c r="B258" i="9"/>
  <c r="D258" i="9"/>
  <c r="C258" i="9" s="1"/>
  <c r="B259" i="9"/>
  <c r="C259" i="9"/>
  <c r="D259" i="9"/>
  <c r="B260" i="9"/>
  <c r="D260" i="9"/>
  <c r="C260" i="9" s="1"/>
  <c r="B261" i="9"/>
  <c r="D261" i="9"/>
  <c r="C261" i="9" s="1"/>
  <c r="B262" i="9"/>
  <c r="D262" i="9"/>
  <c r="C262" i="9" s="1"/>
  <c r="B263" i="9"/>
  <c r="D263" i="9"/>
  <c r="C263" i="9" s="1"/>
  <c r="B264" i="9"/>
  <c r="D264" i="9"/>
  <c r="C264" i="9" s="1"/>
  <c r="B265" i="9"/>
  <c r="C265" i="9"/>
  <c r="D265" i="9"/>
  <c r="B266" i="9"/>
  <c r="D266" i="9"/>
  <c r="C266" i="9" s="1"/>
  <c r="B267" i="9"/>
  <c r="C267" i="9"/>
  <c r="D267" i="9"/>
  <c r="B268" i="9"/>
  <c r="D268" i="9"/>
  <c r="C268" i="9" s="1"/>
  <c r="B269" i="9"/>
  <c r="D269" i="9"/>
  <c r="C269" i="9" s="1"/>
  <c r="B270" i="9"/>
  <c r="D270" i="9"/>
  <c r="C270" i="9" s="1"/>
  <c r="B271" i="9"/>
  <c r="D271" i="9"/>
  <c r="C271" i="9" s="1"/>
  <c r="C272" i="9"/>
  <c r="D234" i="9"/>
  <c r="C234" i="9" s="1"/>
  <c r="B234" i="9"/>
  <c r="B197" i="9"/>
  <c r="D197" i="9"/>
  <c r="C197" i="9" s="1"/>
  <c r="B198" i="9"/>
  <c r="D198" i="9"/>
  <c r="C198" i="9" s="1"/>
  <c r="B199" i="9"/>
  <c r="D199" i="9"/>
  <c r="C199" i="9" s="1"/>
  <c r="B200" i="9"/>
  <c r="D200" i="9"/>
  <c r="C200" i="9" s="1"/>
  <c r="B201" i="9"/>
  <c r="D201" i="9"/>
  <c r="C201" i="9" s="1"/>
  <c r="B202" i="9"/>
  <c r="D202" i="9"/>
  <c r="C202" i="9" s="1"/>
  <c r="B203" i="9"/>
  <c r="D203" i="9"/>
  <c r="C203" i="9" s="1"/>
  <c r="B204" i="9"/>
  <c r="D204" i="9"/>
  <c r="C204" i="9" s="1"/>
  <c r="B205" i="9"/>
  <c r="D205" i="9"/>
  <c r="C205" i="9" s="1"/>
  <c r="B206" i="9"/>
  <c r="D206" i="9"/>
  <c r="C206" i="9" s="1"/>
  <c r="B207" i="9"/>
  <c r="D207" i="9"/>
  <c r="C207" i="9" s="1"/>
  <c r="B208" i="9"/>
  <c r="D208" i="9"/>
  <c r="C208" i="9" s="1"/>
  <c r="B209" i="9"/>
  <c r="D209" i="9"/>
  <c r="C209" i="9" s="1"/>
  <c r="B210" i="9"/>
  <c r="D210" i="9"/>
  <c r="C210" i="9" s="1"/>
  <c r="B211" i="9"/>
  <c r="D211" i="9"/>
  <c r="C211" i="9" s="1"/>
  <c r="B212" i="9"/>
  <c r="C212" i="9"/>
  <c r="D212" i="9"/>
  <c r="B213" i="9"/>
  <c r="D213" i="9"/>
  <c r="C213" i="9" s="1"/>
  <c r="B214" i="9"/>
  <c r="D214" i="9"/>
  <c r="C214" i="9" s="1"/>
  <c r="B215" i="9"/>
  <c r="D215" i="9"/>
  <c r="C215" i="9" s="1"/>
  <c r="B216" i="9"/>
  <c r="D216" i="9"/>
  <c r="C216" i="9" s="1"/>
  <c r="B217" i="9"/>
  <c r="D217" i="9"/>
  <c r="C217" i="9" s="1"/>
  <c r="B218" i="9"/>
  <c r="D218" i="9"/>
  <c r="C218" i="9" s="1"/>
  <c r="B219" i="9"/>
  <c r="D219" i="9"/>
  <c r="C219" i="9" s="1"/>
  <c r="B220" i="9"/>
  <c r="D220" i="9"/>
  <c r="C220" i="9" s="1"/>
  <c r="B221" i="9"/>
  <c r="D221" i="9"/>
  <c r="C221" i="9" s="1"/>
  <c r="B222" i="9"/>
  <c r="D222" i="9"/>
  <c r="C222" i="9" s="1"/>
  <c r="B223" i="9"/>
  <c r="D223" i="9"/>
  <c r="C223" i="9" s="1"/>
  <c r="B224" i="9"/>
  <c r="D224" i="9"/>
  <c r="C224" i="9" s="1"/>
  <c r="B225" i="9"/>
  <c r="D225" i="9"/>
  <c r="C225" i="9" s="1"/>
  <c r="B226" i="9"/>
  <c r="D226" i="9"/>
  <c r="C226" i="9" s="1"/>
  <c r="B227" i="9"/>
  <c r="D227" i="9"/>
  <c r="C227" i="9" s="1"/>
  <c r="B228" i="9"/>
  <c r="D228" i="9"/>
  <c r="C228" i="9" s="1"/>
  <c r="B229" i="9"/>
  <c r="D229" i="9"/>
  <c r="C229" i="9" s="1"/>
  <c r="B230" i="9"/>
  <c r="D230" i="9"/>
  <c r="C230" i="9" s="1"/>
  <c r="B231" i="9"/>
  <c r="D231" i="9"/>
  <c r="C231" i="9" s="1"/>
  <c r="B232" i="9"/>
  <c r="D232" i="9"/>
  <c r="C232" i="9" s="1"/>
  <c r="B233" i="9"/>
  <c r="D233" i="9"/>
  <c r="C233" i="9" s="1"/>
  <c r="D196" i="9"/>
  <c r="C196" i="9" s="1"/>
  <c r="B196" i="9"/>
  <c r="B159" i="9"/>
  <c r="D159" i="9"/>
  <c r="C159" i="9" s="1"/>
  <c r="B160" i="9"/>
  <c r="D160" i="9"/>
  <c r="C160" i="9" s="1"/>
  <c r="B161" i="9"/>
  <c r="D161" i="9"/>
  <c r="C161" i="9" s="1"/>
  <c r="B162" i="9"/>
  <c r="D162" i="9"/>
  <c r="C162" i="9" s="1"/>
  <c r="B163" i="9"/>
  <c r="D163" i="9"/>
  <c r="C163" i="9" s="1"/>
  <c r="B164" i="9"/>
  <c r="D164" i="9"/>
  <c r="C164" i="9" s="1"/>
  <c r="B165" i="9"/>
  <c r="D165" i="9"/>
  <c r="C165" i="9" s="1"/>
  <c r="B166" i="9"/>
  <c r="D166" i="9"/>
  <c r="C166" i="9" s="1"/>
  <c r="B167" i="9"/>
  <c r="D167" i="9"/>
  <c r="C167" i="9" s="1"/>
  <c r="B168" i="9"/>
  <c r="D168" i="9"/>
  <c r="C168" i="9" s="1"/>
  <c r="B169" i="9"/>
  <c r="D169" i="9"/>
  <c r="C169" i="9" s="1"/>
  <c r="B170" i="9"/>
  <c r="D170" i="9"/>
  <c r="C170" i="9" s="1"/>
  <c r="B171" i="9"/>
  <c r="D171" i="9"/>
  <c r="C171" i="9" s="1"/>
  <c r="B172" i="9"/>
  <c r="D172" i="9"/>
  <c r="C172" i="9" s="1"/>
  <c r="B173" i="9"/>
  <c r="D173" i="9"/>
  <c r="C173" i="9" s="1"/>
  <c r="B174" i="9"/>
  <c r="D174" i="9"/>
  <c r="C174" i="9" s="1"/>
  <c r="B175" i="9"/>
  <c r="D175" i="9"/>
  <c r="C175" i="9" s="1"/>
  <c r="B176" i="9"/>
  <c r="D176" i="9"/>
  <c r="C176" i="9" s="1"/>
  <c r="B177" i="9"/>
  <c r="D177" i="9"/>
  <c r="C177" i="9" s="1"/>
  <c r="B178" i="9"/>
  <c r="D178" i="9"/>
  <c r="C178" i="9" s="1"/>
  <c r="B179" i="9"/>
  <c r="D179" i="9"/>
  <c r="C179" i="9" s="1"/>
  <c r="B180" i="9"/>
  <c r="D180" i="9"/>
  <c r="C180" i="9" s="1"/>
  <c r="B181" i="9"/>
  <c r="D181" i="9"/>
  <c r="C181" i="9" s="1"/>
  <c r="B182" i="9"/>
  <c r="D182" i="9"/>
  <c r="C182" i="9" s="1"/>
  <c r="B183" i="9"/>
  <c r="D183" i="9"/>
  <c r="C183" i="9" s="1"/>
  <c r="B184" i="9"/>
  <c r="D184" i="9"/>
  <c r="C184" i="9" s="1"/>
  <c r="B185" i="9"/>
  <c r="D185" i="9"/>
  <c r="C185" i="9" s="1"/>
  <c r="B186" i="9"/>
  <c r="D186" i="9"/>
  <c r="C186" i="9" s="1"/>
  <c r="B187" i="9"/>
  <c r="D187" i="9"/>
  <c r="C187" i="9" s="1"/>
  <c r="B188" i="9"/>
  <c r="D188" i="9"/>
  <c r="C188" i="9" s="1"/>
  <c r="B189" i="9"/>
  <c r="D189" i="9"/>
  <c r="C189" i="9" s="1"/>
  <c r="B190" i="9"/>
  <c r="D190" i="9"/>
  <c r="C190" i="9" s="1"/>
  <c r="B191" i="9"/>
  <c r="D191" i="9"/>
  <c r="C191" i="9" s="1"/>
  <c r="B192" i="9"/>
  <c r="D192" i="9"/>
  <c r="C192" i="9" s="1"/>
  <c r="B193" i="9"/>
  <c r="C193" i="9"/>
  <c r="D193" i="9"/>
  <c r="B194" i="9"/>
  <c r="D194" i="9"/>
  <c r="C194" i="9" s="1"/>
  <c r="B195" i="9"/>
  <c r="D195" i="9"/>
  <c r="C195" i="9" s="1"/>
  <c r="D158" i="9"/>
  <c r="C158" i="9" s="1"/>
  <c r="B158" i="9"/>
  <c r="B121" i="9"/>
  <c r="D121" i="9"/>
  <c r="C121" i="9" s="1"/>
  <c r="B122" i="9"/>
  <c r="D122" i="9"/>
  <c r="C122" i="9" s="1"/>
  <c r="B123" i="9"/>
  <c r="D123" i="9"/>
  <c r="C123" i="9" s="1"/>
  <c r="B124" i="9"/>
  <c r="D124" i="9"/>
  <c r="C124" i="9" s="1"/>
  <c r="B125" i="9"/>
  <c r="D125" i="9"/>
  <c r="C125" i="9" s="1"/>
  <c r="B126" i="9"/>
  <c r="D126" i="9"/>
  <c r="C126" i="9" s="1"/>
  <c r="B127" i="9"/>
  <c r="D127" i="9"/>
  <c r="C127" i="9" s="1"/>
  <c r="B128" i="9"/>
  <c r="D128" i="9"/>
  <c r="C128" i="9" s="1"/>
  <c r="B129" i="9"/>
  <c r="D129" i="9"/>
  <c r="C129" i="9" s="1"/>
  <c r="B130" i="9"/>
  <c r="D130" i="9"/>
  <c r="C130" i="9" s="1"/>
  <c r="B131" i="9"/>
  <c r="D131" i="9"/>
  <c r="C131" i="9" s="1"/>
  <c r="B132" i="9"/>
  <c r="D132" i="9"/>
  <c r="C132" i="9" s="1"/>
  <c r="B133" i="9"/>
  <c r="D133" i="9"/>
  <c r="C133" i="9" s="1"/>
  <c r="B134" i="9"/>
  <c r="D134" i="9"/>
  <c r="C134" i="9" s="1"/>
  <c r="B135" i="9"/>
  <c r="D135" i="9"/>
  <c r="C135" i="9" s="1"/>
  <c r="B136" i="9"/>
  <c r="D136" i="9"/>
  <c r="C136" i="9" s="1"/>
  <c r="B137" i="9"/>
  <c r="D137" i="9"/>
  <c r="C137" i="9" s="1"/>
  <c r="B138" i="9"/>
  <c r="D138" i="9"/>
  <c r="C138" i="9" s="1"/>
  <c r="B139" i="9"/>
  <c r="D139" i="9"/>
  <c r="C139" i="9" s="1"/>
  <c r="B140" i="9"/>
  <c r="D140" i="9"/>
  <c r="C140" i="9" s="1"/>
  <c r="B141" i="9"/>
  <c r="D141" i="9"/>
  <c r="C141" i="9" s="1"/>
  <c r="B142" i="9"/>
  <c r="D142" i="9"/>
  <c r="C142" i="9" s="1"/>
  <c r="B143" i="9"/>
  <c r="D143" i="9"/>
  <c r="C143" i="9" s="1"/>
  <c r="B144" i="9"/>
  <c r="D144" i="9"/>
  <c r="C144" i="9" s="1"/>
  <c r="B145" i="9"/>
  <c r="D145" i="9"/>
  <c r="C145" i="9" s="1"/>
  <c r="B146" i="9"/>
  <c r="D146" i="9"/>
  <c r="C146" i="9" s="1"/>
  <c r="B147" i="9"/>
  <c r="C147" i="9"/>
  <c r="D147" i="9"/>
  <c r="B148" i="9"/>
  <c r="D148" i="9"/>
  <c r="C148" i="9" s="1"/>
  <c r="B149" i="9"/>
  <c r="D149" i="9"/>
  <c r="C149" i="9" s="1"/>
  <c r="B150" i="9"/>
  <c r="D150" i="9"/>
  <c r="C150" i="9" s="1"/>
  <c r="B151" i="9"/>
  <c r="D151" i="9"/>
  <c r="C151" i="9" s="1"/>
  <c r="B152" i="9"/>
  <c r="D152" i="9"/>
  <c r="C152" i="9" s="1"/>
  <c r="B153" i="9"/>
  <c r="D153" i="9"/>
  <c r="C153" i="9" s="1"/>
  <c r="B154" i="9"/>
  <c r="D154" i="9"/>
  <c r="C154" i="9" s="1"/>
  <c r="B155" i="9"/>
  <c r="C155" i="9"/>
  <c r="D155" i="9"/>
  <c r="B156" i="9"/>
  <c r="D156" i="9"/>
  <c r="C156" i="9" s="1"/>
  <c r="B157" i="9"/>
  <c r="D157" i="9"/>
  <c r="C157" i="9" s="1"/>
  <c r="D120" i="9"/>
  <c r="C120" i="9" s="1"/>
  <c r="B120" i="9"/>
  <c r="B83" i="9"/>
  <c r="D83" i="9"/>
  <c r="C83" i="9" s="1"/>
  <c r="B84" i="9"/>
  <c r="D84" i="9"/>
  <c r="C84" i="9" s="1"/>
  <c r="B85" i="9"/>
  <c r="D85" i="9"/>
  <c r="C85" i="9" s="1"/>
  <c r="B86" i="9"/>
  <c r="D86" i="9"/>
  <c r="C86" i="9" s="1"/>
  <c r="B87" i="9"/>
  <c r="D87" i="9"/>
  <c r="C87" i="9" s="1"/>
  <c r="B88" i="9"/>
  <c r="D88" i="9"/>
  <c r="C88" i="9" s="1"/>
  <c r="B89" i="9"/>
  <c r="D89" i="9"/>
  <c r="C89" i="9" s="1"/>
  <c r="B90" i="9"/>
  <c r="D90" i="9"/>
  <c r="C90" i="9" s="1"/>
  <c r="B91" i="9"/>
  <c r="D91" i="9"/>
  <c r="C91" i="9" s="1"/>
  <c r="B92" i="9"/>
  <c r="D92" i="9"/>
  <c r="C92" i="9" s="1"/>
  <c r="B93" i="9"/>
  <c r="D93" i="9"/>
  <c r="C93" i="9" s="1"/>
  <c r="B94" i="9"/>
  <c r="D94" i="9"/>
  <c r="C94" i="9" s="1"/>
  <c r="B95" i="9"/>
  <c r="D95" i="9"/>
  <c r="C95" i="9" s="1"/>
  <c r="B96" i="9"/>
  <c r="D96" i="9"/>
  <c r="C96" i="9" s="1"/>
  <c r="B97" i="9"/>
  <c r="D97" i="9"/>
  <c r="C97" i="9" s="1"/>
  <c r="B98" i="9"/>
  <c r="D98" i="9"/>
  <c r="C98" i="9" s="1"/>
  <c r="B99" i="9"/>
  <c r="D99" i="9"/>
  <c r="C99" i="9" s="1"/>
  <c r="B100" i="9"/>
  <c r="C100" i="9"/>
  <c r="D100" i="9"/>
  <c r="B101" i="9"/>
  <c r="D101" i="9"/>
  <c r="C101" i="9" s="1"/>
  <c r="B102" i="9"/>
  <c r="D102" i="9"/>
  <c r="C102" i="9" s="1"/>
  <c r="B103" i="9"/>
  <c r="D103" i="9"/>
  <c r="C103" i="9" s="1"/>
  <c r="B104" i="9"/>
  <c r="D104" i="9"/>
  <c r="C104" i="9" s="1"/>
  <c r="B105" i="9"/>
  <c r="D105" i="9"/>
  <c r="C105" i="9" s="1"/>
  <c r="B106" i="9"/>
  <c r="D106" i="9"/>
  <c r="C106" i="9" s="1"/>
  <c r="B107" i="9"/>
  <c r="D107" i="9"/>
  <c r="C107" i="9" s="1"/>
  <c r="B108" i="9"/>
  <c r="D108" i="9"/>
  <c r="C108" i="9" s="1"/>
  <c r="B109" i="9"/>
  <c r="D109" i="9"/>
  <c r="C109" i="9" s="1"/>
  <c r="B110" i="9"/>
  <c r="C110" i="9"/>
  <c r="D110" i="9"/>
  <c r="B111" i="9"/>
  <c r="D111" i="9"/>
  <c r="C111" i="9" s="1"/>
  <c r="B112" i="9"/>
  <c r="D112" i="9"/>
  <c r="C112" i="9" s="1"/>
  <c r="B113" i="9"/>
  <c r="D113" i="9"/>
  <c r="C113" i="9" s="1"/>
  <c r="B114" i="9"/>
  <c r="D114" i="9"/>
  <c r="C114" i="9" s="1"/>
  <c r="B115" i="9"/>
  <c r="C115" i="9"/>
  <c r="D115" i="9"/>
  <c r="B116" i="9"/>
  <c r="D116" i="9"/>
  <c r="C116" i="9" s="1"/>
  <c r="B117" i="9"/>
  <c r="D117" i="9"/>
  <c r="C117" i="9" s="1"/>
  <c r="B118" i="9"/>
  <c r="D118" i="9"/>
  <c r="C118" i="9" s="1"/>
  <c r="B119" i="9"/>
  <c r="D119" i="9"/>
  <c r="C119" i="9" s="1"/>
  <c r="C69" i="9"/>
  <c r="C71" i="9"/>
  <c r="C79" i="9"/>
  <c r="D82" i="9"/>
  <c r="C82" i="9" s="1"/>
  <c r="B82" i="9"/>
  <c r="B74" i="9"/>
  <c r="D74" i="9"/>
  <c r="C74" i="9" s="1"/>
  <c r="B75" i="9"/>
  <c r="D75" i="9"/>
  <c r="C75" i="9" s="1"/>
  <c r="B76" i="9"/>
  <c r="D76" i="9"/>
  <c r="C76" i="9" s="1"/>
  <c r="B77" i="9"/>
  <c r="D77" i="9"/>
  <c r="C77" i="9" s="1"/>
  <c r="B78" i="9"/>
  <c r="D78" i="9"/>
  <c r="C78" i="9" s="1"/>
  <c r="B79" i="9"/>
  <c r="D79" i="9"/>
  <c r="B80" i="9"/>
  <c r="D80" i="9"/>
  <c r="C80" i="9" s="1"/>
  <c r="B81" i="9"/>
  <c r="D81" i="9"/>
  <c r="C81" i="9" s="1"/>
  <c r="B45" i="9"/>
  <c r="D45" i="9"/>
  <c r="C45" i="9" s="1"/>
  <c r="B46" i="9"/>
  <c r="D46" i="9"/>
  <c r="C46" i="9" s="1"/>
  <c r="B47" i="9"/>
  <c r="D47" i="9"/>
  <c r="C47" i="9" s="1"/>
  <c r="B48" i="9"/>
  <c r="D48" i="9"/>
  <c r="C48" i="9" s="1"/>
  <c r="B49" i="9"/>
  <c r="D49" i="9"/>
  <c r="C49" i="9" s="1"/>
  <c r="B50" i="9"/>
  <c r="D50" i="9"/>
  <c r="C50" i="9" s="1"/>
  <c r="B51" i="9"/>
  <c r="D51" i="9"/>
  <c r="C51" i="9" s="1"/>
  <c r="B52" i="9"/>
  <c r="D52" i="9"/>
  <c r="C52" i="9" s="1"/>
  <c r="B53" i="9"/>
  <c r="D53" i="9"/>
  <c r="C53" i="9" s="1"/>
  <c r="B54" i="9"/>
  <c r="D54" i="9"/>
  <c r="C54" i="9" s="1"/>
  <c r="B55" i="9"/>
  <c r="D55" i="9"/>
  <c r="C55" i="9" s="1"/>
  <c r="B56" i="9"/>
  <c r="D56" i="9"/>
  <c r="C56" i="9" s="1"/>
  <c r="B57" i="9"/>
  <c r="D57" i="9"/>
  <c r="C57" i="9" s="1"/>
  <c r="B58" i="9"/>
  <c r="D58" i="9"/>
  <c r="C58" i="9" s="1"/>
  <c r="B59" i="9"/>
  <c r="D59" i="9"/>
  <c r="C59" i="9" s="1"/>
  <c r="B60" i="9"/>
  <c r="D60" i="9"/>
  <c r="C60" i="9" s="1"/>
  <c r="B61" i="9"/>
  <c r="D61" i="9"/>
  <c r="C61" i="9" s="1"/>
  <c r="B62" i="9"/>
  <c r="D62" i="9"/>
  <c r="C62" i="9" s="1"/>
  <c r="B63" i="9"/>
  <c r="D63" i="9"/>
  <c r="C63" i="9" s="1"/>
  <c r="B64" i="9"/>
  <c r="D64" i="9"/>
  <c r="C64" i="9" s="1"/>
  <c r="B65" i="9"/>
  <c r="D65" i="9"/>
  <c r="C65" i="9" s="1"/>
  <c r="B66" i="9"/>
  <c r="D66" i="9"/>
  <c r="C66" i="9" s="1"/>
  <c r="B67" i="9"/>
  <c r="D67" i="9"/>
  <c r="C67" i="9" s="1"/>
  <c r="B68" i="9"/>
  <c r="D68" i="9"/>
  <c r="C68" i="9" s="1"/>
  <c r="B69" i="9"/>
  <c r="D69" i="9"/>
  <c r="B70" i="9"/>
  <c r="D70" i="9"/>
  <c r="C70" i="9" s="1"/>
  <c r="B71" i="9"/>
  <c r="D71" i="9"/>
  <c r="B72" i="9"/>
  <c r="D72" i="9"/>
  <c r="C72" i="9" s="1"/>
  <c r="B73" i="9"/>
  <c r="D73" i="9"/>
  <c r="C73" i="9" s="1"/>
  <c r="D44" i="9"/>
  <c r="C44" i="9" s="1"/>
  <c r="B44" i="9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8" i="2"/>
  <c r="X16" i="2"/>
  <c r="X17" i="2"/>
  <c r="X18" i="2"/>
  <c r="X19" i="2"/>
  <c r="X43" i="2"/>
  <c r="X44" i="2"/>
  <c r="X45" i="2"/>
  <c r="X56" i="2"/>
  <c r="X57" i="2"/>
  <c r="X58" i="2"/>
  <c r="X63" i="2"/>
  <c r="X64" i="2"/>
  <c r="X65" i="2"/>
  <c r="X66" i="2"/>
  <c r="X67" i="2"/>
  <c r="X68" i="2"/>
  <c r="X69" i="2"/>
  <c r="H4" i="2"/>
  <c r="I4" i="2"/>
  <c r="J4" i="2"/>
  <c r="K4" i="2"/>
  <c r="L4" i="2"/>
  <c r="M4" i="2"/>
  <c r="N4" i="2"/>
  <c r="O4" i="2"/>
  <c r="P4" i="2"/>
  <c r="Q4" i="2"/>
  <c r="R4" i="2"/>
  <c r="S4" i="2"/>
  <c r="T4" i="2"/>
  <c r="H5" i="2"/>
  <c r="I5" i="2"/>
  <c r="J5" i="2"/>
  <c r="K5" i="2"/>
  <c r="L5" i="2"/>
  <c r="M5" i="2"/>
  <c r="N5" i="2"/>
  <c r="O5" i="2"/>
  <c r="P5" i="2"/>
  <c r="Q5" i="2"/>
  <c r="R5" i="2"/>
  <c r="S5" i="2"/>
  <c r="T5" i="2"/>
  <c r="H6" i="2"/>
  <c r="I6" i="2"/>
  <c r="J6" i="2"/>
  <c r="K6" i="2"/>
  <c r="L6" i="2"/>
  <c r="M6" i="2"/>
  <c r="N6" i="2"/>
  <c r="O6" i="2"/>
  <c r="P6" i="2"/>
  <c r="Q6" i="2"/>
  <c r="R6" i="2"/>
  <c r="S6" i="2"/>
  <c r="T6" i="2"/>
  <c r="H7" i="2"/>
  <c r="I7" i="2"/>
  <c r="J7" i="2"/>
  <c r="K7" i="2"/>
  <c r="L7" i="2"/>
  <c r="M7" i="2"/>
  <c r="N7" i="2"/>
  <c r="O7" i="2"/>
  <c r="P7" i="2"/>
  <c r="Q7" i="2"/>
  <c r="R7" i="2"/>
  <c r="S7" i="2"/>
  <c r="T7" i="2"/>
  <c r="H8" i="2"/>
  <c r="I8" i="2"/>
  <c r="J8" i="2"/>
  <c r="K8" i="2"/>
  <c r="L8" i="2"/>
  <c r="M8" i="2"/>
  <c r="N8" i="2"/>
  <c r="O8" i="2"/>
  <c r="P8" i="2"/>
  <c r="Q8" i="2"/>
  <c r="R8" i="2"/>
  <c r="S8" i="2"/>
  <c r="T8" i="2"/>
  <c r="H9" i="2"/>
  <c r="I9" i="2"/>
  <c r="J9" i="2"/>
  <c r="K9" i="2"/>
  <c r="L9" i="2"/>
  <c r="M9" i="2"/>
  <c r="N9" i="2"/>
  <c r="O9" i="2"/>
  <c r="P9" i="2"/>
  <c r="Q9" i="2"/>
  <c r="R9" i="2"/>
  <c r="S9" i="2"/>
  <c r="T9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R3" i="2"/>
  <c r="Q3" i="2"/>
  <c r="P3" i="2"/>
  <c r="O3" i="2"/>
  <c r="N3" i="2"/>
  <c r="M3" i="2"/>
  <c r="T3" i="2"/>
  <c r="S3" i="2"/>
  <c r="L3" i="2"/>
  <c r="K3" i="2"/>
  <c r="J3" i="2"/>
  <c r="I3" i="2"/>
  <c r="H3" i="2"/>
  <c r="D25" i="5" l="1"/>
  <c r="D22" i="5"/>
  <c r="D31" i="5"/>
  <c r="D21" i="5"/>
  <c r="D30" i="5"/>
  <c r="D20" i="5"/>
  <c r="D26" i="5"/>
  <c r="E11" i="5"/>
  <c r="O32" i="5" l="1"/>
  <c r="O26" i="5"/>
  <c r="O22" i="5"/>
  <c r="O31" i="5"/>
  <c r="O30" i="5"/>
  <c r="O27" i="5"/>
  <c r="O25" i="5"/>
  <c r="O21" i="5"/>
  <c r="O20" i="5"/>
  <c r="H44" i="2"/>
  <c r="H45" i="2" s="1"/>
  <c r="F13" i="5" l="1"/>
  <c r="E13" i="5"/>
  <c r="E3" i="7" l="1"/>
  <c r="D2" i="7"/>
  <c r="H3" i="7"/>
  <c r="H2" i="7"/>
  <c r="R26" i="5" l="1"/>
  <c r="B31" i="5"/>
  <c r="B21" i="5"/>
  <c r="B26" i="5"/>
  <c r="U20" i="5"/>
  <c r="U21" i="5"/>
  <c r="U22" i="5"/>
  <c r="K24" i="5"/>
  <c r="U31" i="5"/>
  <c r="U32" i="5"/>
  <c r="C33" i="5" l="1"/>
  <c r="U30" i="5"/>
  <c r="U27" i="5"/>
  <c r="U26" i="5"/>
  <c r="U25" i="5"/>
  <c r="S32" i="5"/>
  <c r="S31" i="5"/>
  <c r="S30" i="5"/>
  <c r="S27" i="5"/>
  <c r="S26" i="5"/>
  <c r="S25" i="5"/>
  <c r="S21" i="5"/>
  <c r="S22" i="5"/>
  <c r="S20" i="5"/>
  <c r="P32" i="5"/>
  <c r="P31" i="5"/>
  <c r="P30" i="5"/>
  <c r="P27" i="5"/>
  <c r="P26" i="5"/>
  <c r="P25" i="5"/>
  <c r="P21" i="5"/>
  <c r="P22" i="5"/>
  <c r="P20" i="5"/>
  <c r="R27" i="5"/>
  <c r="R25" i="5"/>
  <c r="R32" i="5"/>
  <c r="R31" i="5"/>
  <c r="R30" i="5"/>
  <c r="R21" i="5"/>
  <c r="R22" i="5"/>
  <c r="R20" i="5"/>
  <c r="R19" i="5"/>
  <c r="T8" i="5" l="1"/>
  <c r="Q31" i="5"/>
  <c r="Q27" i="5"/>
  <c r="Q30" i="5"/>
  <c r="Q32" i="5"/>
  <c r="Q25" i="5"/>
  <c r="T21" i="5"/>
  <c r="T32" i="5"/>
  <c r="T25" i="5"/>
  <c r="T22" i="5"/>
  <c r="T26" i="5"/>
  <c r="T27" i="5"/>
  <c r="T30" i="5"/>
  <c r="T20" i="5"/>
  <c r="T31" i="5"/>
  <c r="Q21" i="5"/>
  <c r="Q26" i="5"/>
  <c r="Q22" i="5"/>
  <c r="Q20" i="5"/>
  <c r="K29" i="5"/>
  <c r="K19" i="5"/>
  <c r="R38" i="5" l="1"/>
  <c r="E38" i="5" s="1"/>
  <c r="R37" i="5"/>
  <c r="E37" i="5" s="1"/>
  <c r="R40" i="5"/>
  <c r="E40" i="5" s="1"/>
  <c r="R39" i="5"/>
  <c r="E39" i="5" s="1"/>
  <c r="R36" i="5"/>
  <c r="T12" i="5"/>
  <c r="T13" i="5"/>
  <c r="T14" i="5"/>
  <c r="AF30" i="5"/>
  <c r="AJ31" i="5"/>
  <c r="AJ27" i="5"/>
  <c r="AJ25" i="5"/>
  <c r="AJ22" i="5"/>
  <c r="AF25" i="5"/>
  <c r="AH21" i="5"/>
  <c r="AF22" i="5"/>
  <c r="AH32" i="5"/>
  <c r="AJ30" i="5"/>
  <c r="AF27" i="5"/>
  <c r="AF26" i="5"/>
  <c r="AF20" i="5"/>
  <c r="AF32" i="5"/>
  <c r="AJ32" i="5"/>
  <c r="AF21" i="5"/>
  <c r="AH31" i="5"/>
  <c r="AH30" i="5"/>
  <c r="AH26" i="5"/>
  <c r="AH25" i="5"/>
  <c r="AF31" i="5"/>
  <c r="T19" i="5"/>
  <c r="T9" i="5" s="1"/>
  <c r="W21" i="1"/>
  <c r="W25" i="1"/>
  <c r="Y21" i="1"/>
  <c r="Y25" i="1" s="1"/>
  <c r="AA21" i="1"/>
  <c r="AA25" i="1" s="1"/>
  <c r="AC21" i="1"/>
  <c r="AC25" i="1" s="1"/>
  <c r="AE21" i="1"/>
  <c r="AE25" i="1"/>
  <c r="AG21" i="1"/>
  <c r="AG25" i="1"/>
  <c r="AI21" i="1"/>
  <c r="AI25" i="1" s="1"/>
  <c r="AK21" i="1"/>
  <c r="AK25" i="1" s="1"/>
  <c r="AM21" i="1"/>
  <c r="AM25" i="1" s="1"/>
  <c r="AO21" i="1"/>
  <c r="AO25" i="1" s="1"/>
  <c r="AQ21" i="1"/>
  <c r="AQ25" i="1" s="1"/>
  <c r="AS21" i="1"/>
  <c r="AS25" i="1" s="1"/>
  <c r="AU21" i="1"/>
  <c r="AU25" i="1" s="1"/>
  <c r="AW21" i="1"/>
  <c r="AW25" i="1" s="1"/>
  <c r="AY21" i="1"/>
  <c r="AY25" i="1" s="1"/>
  <c r="BA21" i="1"/>
  <c r="BA25" i="1" s="1"/>
  <c r="BC21" i="1"/>
  <c r="BC25" i="1"/>
  <c r="BE21" i="1"/>
  <c r="BE25" i="1" s="1"/>
  <c r="BG21" i="1"/>
  <c r="BG25" i="1" s="1"/>
  <c r="BI21" i="1"/>
  <c r="BI25" i="1" s="1"/>
  <c r="BK21" i="1"/>
  <c r="BK25" i="1" s="1"/>
  <c r="BM21" i="1"/>
  <c r="BM25" i="1" s="1"/>
  <c r="BO21" i="1"/>
  <c r="BO25" i="1"/>
  <c r="BQ21" i="1"/>
  <c r="BQ25" i="1" s="1"/>
  <c r="BS21" i="1"/>
  <c r="BS25" i="1" s="1"/>
  <c r="BU21" i="1"/>
  <c r="BU25" i="1"/>
  <c r="BW21" i="1"/>
  <c r="BW25" i="1" s="1"/>
  <c r="BY21" i="1"/>
  <c r="BY25" i="1" s="1"/>
  <c r="CA21" i="1"/>
  <c r="CA25" i="1"/>
  <c r="CC21" i="1"/>
  <c r="CC25" i="1" s="1"/>
  <c r="CE21" i="1"/>
  <c r="CE25" i="1" s="1"/>
  <c r="CG21" i="1"/>
  <c r="CG25" i="1" s="1"/>
  <c r="CI21" i="1"/>
  <c r="CI25" i="1" s="1"/>
  <c r="CK21" i="1"/>
  <c r="CK25" i="1" s="1"/>
  <c r="CM21" i="1"/>
  <c r="CM25" i="1"/>
  <c r="CO21" i="1"/>
  <c r="CO25" i="1" s="1"/>
  <c r="CQ21" i="1"/>
  <c r="CQ25" i="1" s="1"/>
  <c r="CS21" i="1"/>
  <c r="CS25" i="1" s="1"/>
  <c r="CU21" i="1"/>
  <c r="CU25" i="1" s="1"/>
  <c r="CW21" i="1"/>
  <c r="CW25" i="1" s="1"/>
  <c r="CY21" i="1"/>
  <c r="CY25" i="1" s="1"/>
  <c r="DA21" i="1"/>
  <c r="DA25" i="1"/>
  <c r="DC21" i="1"/>
  <c r="DC25" i="1" s="1"/>
  <c r="DE21" i="1"/>
  <c r="DE25" i="1" s="1"/>
  <c r="DG21" i="1"/>
  <c r="DG25" i="1" s="1"/>
  <c r="DI21" i="1"/>
  <c r="DI25" i="1" s="1"/>
  <c r="DK21" i="1"/>
  <c r="DK25" i="1"/>
  <c r="DM21" i="1"/>
  <c r="DM25" i="1" s="1"/>
  <c r="DO21" i="1"/>
  <c r="DO2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BA35" i="1"/>
  <c r="BC35" i="1"/>
  <c r="BE35" i="1"/>
  <c r="BG35" i="1"/>
  <c r="BI35" i="1"/>
  <c r="BK35" i="1"/>
  <c r="BM35" i="1"/>
  <c r="BO35" i="1"/>
  <c r="BQ35" i="1"/>
  <c r="BS35" i="1"/>
  <c r="BU35" i="1"/>
  <c r="BW35" i="1"/>
  <c r="BY35" i="1"/>
  <c r="CA35" i="1"/>
  <c r="CC35" i="1"/>
  <c r="CE35" i="1"/>
  <c r="CG35" i="1"/>
  <c r="CI35" i="1"/>
  <c r="CK35" i="1"/>
  <c r="CM35" i="1"/>
  <c r="CO35" i="1"/>
  <c r="CQ35" i="1"/>
  <c r="CS35" i="1"/>
  <c r="CU35" i="1"/>
  <c r="CW35" i="1"/>
  <c r="CY35" i="1"/>
  <c r="DA35" i="1"/>
  <c r="DC35" i="1"/>
  <c r="DE35" i="1"/>
  <c r="DG35" i="1"/>
  <c r="DI35" i="1"/>
  <c r="DK35" i="1"/>
  <c r="DM35" i="1"/>
  <c r="DO35" i="1"/>
  <c r="K28" i="1"/>
  <c r="M28" i="1" s="1"/>
  <c r="N28" i="1" s="1"/>
  <c r="K26" i="1"/>
  <c r="M26" i="1" s="1"/>
  <c r="N26" i="1" s="1"/>
  <c r="K27" i="1"/>
  <c r="M27" i="1" s="1"/>
  <c r="N27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S32" i="1"/>
  <c r="S33" i="1"/>
  <c r="S34" i="1"/>
  <c r="Q37" i="6"/>
  <c r="Q35" i="6"/>
  <c r="Q32" i="6"/>
  <c r="Q30" i="6"/>
  <c r="AH9" i="3"/>
  <c r="AH8" i="3"/>
  <c r="AH7" i="3"/>
  <c r="AH6" i="3"/>
  <c r="AA4" i="1"/>
  <c r="AA5" i="1"/>
  <c r="AA6" i="1"/>
  <c r="AA7" i="1"/>
  <c r="AB4" i="1"/>
  <c r="AB5" i="1"/>
  <c r="AB6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I3" i="1"/>
  <c r="AD7" i="3" s="1"/>
  <c r="J3" i="1"/>
  <c r="AE7" i="3" s="1"/>
  <c r="V3" i="1"/>
  <c r="AF7" i="3" s="1"/>
  <c r="AF5" i="3" s="1"/>
  <c r="W6" i="3"/>
  <c r="W7" i="3"/>
  <c r="C15" i="4" s="1"/>
  <c r="R9" i="4" s="1"/>
  <c r="AG3" i="4" s="1"/>
  <c r="AN8" i="4" s="1"/>
  <c r="C65" i="4" s="1"/>
  <c r="R65" i="4" s="1"/>
  <c r="S52" i="6"/>
  <c r="S50" i="6"/>
  <c r="S47" i="6"/>
  <c r="S45" i="6"/>
  <c r="E38" i="6"/>
  <c r="R52" i="6" s="1"/>
  <c r="R50" i="6"/>
  <c r="E34" i="6"/>
  <c r="D35" i="6" s="1"/>
  <c r="R45" i="6"/>
  <c r="Q52" i="6"/>
  <c r="Q50" i="6"/>
  <c r="Q47" i="6"/>
  <c r="Q45" i="6"/>
  <c r="X3" i="2"/>
  <c r="X4" i="2"/>
  <c r="X5" i="2"/>
  <c r="X6" i="2"/>
  <c r="X7" i="2"/>
  <c r="X10" i="2"/>
  <c r="X11" i="2"/>
  <c r="X12" i="2"/>
  <c r="X13" i="2"/>
  <c r="X14" i="2"/>
  <c r="X15" i="2"/>
  <c r="X20" i="2"/>
  <c r="X21" i="2"/>
  <c r="X32" i="2"/>
  <c r="X33" i="2"/>
  <c r="X34" i="2"/>
  <c r="X35" i="2"/>
  <c r="X36" i="2"/>
  <c r="X37" i="2"/>
  <c r="X39" i="2"/>
  <c r="X40" i="2"/>
  <c r="X41" i="2"/>
  <c r="X42" i="2"/>
  <c r="X46" i="2"/>
  <c r="X47" i="2"/>
  <c r="X48" i="2"/>
  <c r="X49" i="2"/>
  <c r="X50" i="2"/>
  <c r="X51" i="2"/>
  <c r="X52" i="2"/>
  <c r="X53" i="2"/>
  <c r="X54" i="2"/>
  <c r="X55" i="2"/>
  <c r="X59" i="2"/>
  <c r="X60" i="2"/>
  <c r="X61" i="2"/>
  <c r="X62" i="2"/>
  <c r="X71" i="2"/>
  <c r="X72" i="2"/>
  <c r="X73" i="2"/>
  <c r="F6" i="3"/>
  <c r="E2" i="4" s="1"/>
  <c r="D6" i="3"/>
  <c r="D7" i="3"/>
  <c r="C3" i="4" s="1"/>
  <c r="E15" i="3"/>
  <c r="D4" i="4" s="1"/>
  <c r="S16" i="4" s="1"/>
  <c r="AH10" i="4" s="1"/>
  <c r="X6" i="3"/>
  <c r="D14" i="4" s="1"/>
  <c r="S8" i="4" s="1"/>
  <c r="AH2" i="4" s="1"/>
  <c r="AO2" i="4" s="1"/>
  <c r="D64" i="4" s="1"/>
  <c r="S64" i="4" s="1"/>
  <c r="Y6" i="3"/>
  <c r="E14" i="4" s="1"/>
  <c r="T8" i="4" s="1"/>
  <c r="AI2" i="4" s="1"/>
  <c r="AP2" i="4" s="1"/>
  <c r="Y7" i="3"/>
  <c r="E15" i="4" s="1"/>
  <c r="T9" i="4" s="1"/>
  <c r="AI3" i="4" s="1"/>
  <c r="AP8" i="4" s="1"/>
  <c r="W15" i="3"/>
  <c r="X15" i="3"/>
  <c r="D16" i="4" s="1"/>
  <c r="S10" i="4" s="1"/>
  <c r="AH4" i="4" s="1"/>
  <c r="Y15" i="3"/>
  <c r="E16" i="4" s="1"/>
  <c r="T10" i="4" s="1"/>
  <c r="AI4" i="4" s="1"/>
  <c r="W16" i="3"/>
  <c r="Y16" i="3"/>
  <c r="E17" i="4" s="1"/>
  <c r="T11" i="4" s="1"/>
  <c r="AI5" i="4" s="1"/>
  <c r="W24" i="3"/>
  <c r="X24" i="3"/>
  <c r="D18" i="4" s="1"/>
  <c r="S12" i="4" s="1"/>
  <c r="AH6" i="4" s="1"/>
  <c r="Y24" i="3"/>
  <c r="E18" i="4" s="1"/>
  <c r="T12" i="4" s="1"/>
  <c r="AI6" i="4" s="1"/>
  <c r="W25" i="3"/>
  <c r="C19" i="4" s="1"/>
  <c r="R13" i="4" s="1"/>
  <c r="AG7" i="4" s="1"/>
  <c r="Y25" i="3"/>
  <c r="E19" i="4" s="1"/>
  <c r="T13" i="4" s="1"/>
  <c r="AI7" i="4" s="1"/>
  <c r="D15" i="3"/>
  <c r="D16" i="3"/>
  <c r="C5" i="4" s="1"/>
  <c r="R17" i="4" s="1"/>
  <c r="AG11" i="4" s="1"/>
  <c r="E6" i="3"/>
  <c r="D2" i="4" s="1"/>
  <c r="F15" i="3"/>
  <c r="F7" i="3"/>
  <c r="E3" i="4" s="1"/>
  <c r="M7" i="3"/>
  <c r="C9" i="4" s="1"/>
  <c r="R3" i="4" s="1"/>
  <c r="M6" i="3"/>
  <c r="F16" i="3"/>
  <c r="E5" i="4" s="1"/>
  <c r="T17" i="4" s="1"/>
  <c r="AI11" i="4" s="1"/>
  <c r="D24" i="3"/>
  <c r="E24" i="3"/>
  <c r="D6" i="4" s="1"/>
  <c r="S18" i="4" s="1"/>
  <c r="AH12" i="4" s="1"/>
  <c r="F24" i="3"/>
  <c r="E6" i="4" s="1"/>
  <c r="T18" i="4" s="1"/>
  <c r="AI12" i="4" s="1"/>
  <c r="D25" i="3"/>
  <c r="C7" i="4" s="1"/>
  <c r="R19" i="4" s="1"/>
  <c r="AG13" i="4" s="1"/>
  <c r="F25" i="3"/>
  <c r="E7" i="4" s="1"/>
  <c r="T19" i="4" s="1"/>
  <c r="AI13" i="4" s="1"/>
  <c r="N6" i="3"/>
  <c r="D8" i="4" s="1"/>
  <c r="S2" i="4" s="1"/>
  <c r="O6" i="3"/>
  <c r="E8" i="4" s="1"/>
  <c r="T2" i="4" s="1"/>
  <c r="O7" i="3"/>
  <c r="E9" i="4" s="1"/>
  <c r="T3" i="4" s="1"/>
  <c r="M15" i="3"/>
  <c r="N15" i="3"/>
  <c r="D10" i="4" s="1"/>
  <c r="S4" i="4" s="1"/>
  <c r="AH16" i="4" s="1"/>
  <c r="O15" i="3"/>
  <c r="E10" i="4" s="1"/>
  <c r="T4" i="4" s="1"/>
  <c r="AI16" i="4" s="1"/>
  <c r="M16" i="3"/>
  <c r="C11" i="4" s="1"/>
  <c r="R5" i="4" s="1"/>
  <c r="AG17" i="4" s="1"/>
  <c r="O16" i="3"/>
  <c r="E11" i="4" s="1"/>
  <c r="T5" i="4" s="1"/>
  <c r="AI17" i="4" s="1"/>
  <c r="M24" i="3"/>
  <c r="N24" i="3"/>
  <c r="D12" i="4" s="1"/>
  <c r="S6" i="4" s="1"/>
  <c r="AH18" i="4" s="1"/>
  <c r="O24" i="3"/>
  <c r="E12" i="4" s="1"/>
  <c r="T6" i="4" s="1"/>
  <c r="AI18" i="4" s="1"/>
  <c r="M25" i="3"/>
  <c r="O25" i="3"/>
  <c r="E13" i="4" s="1"/>
  <c r="T7" i="4" s="1"/>
  <c r="AI19" i="4" s="1"/>
  <c r="AD22" i="6"/>
  <c r="AD23" i="6"/>
  <c r="AD31" i="6"/>
  <c r="AD32" i="6"/>
  <c r="AE31" i="6"/>
  <c r="AF31" i="6"/>
  <c r="AF32" i="6"/>
  <c r="AD13" i="6"/>
  <c r="AE13" i="6"/>
  <c r="AF13" i="6"/>
  <c r="AF14" i="6"/>
  <c r="AD14" i="6"/>
  <c r="AE22" i="6"/>
  <c r="AF22" i="6"/>
  <c r="E42" i="6"/>
  <c r="AE32" i="6" s="1"/>
  <c r="AF23" i="6"/>
  <c r="AF29" i="6"/>
  <c r="AD29" i="6"/>
  <c r="AF28" i="6"/>
  <c r="AE28" i="6"/>
  <c r="AD28" i="6"/>
  <c r="AF20" i="6"/>
  <c r="AD20" i="6"/>
  <c r="AF19" i="6"/>
  <c r="AE19" i="6"/>
  <c r="AD19" i="6"/>
  <c r="AF26" i="6"/>
  <c r="AD26" i="6"/>
  <c r="AF25" i="6"/>
  <c r="AE25" i="6"/>
  <c r="AD25" i="6"/>
  <c r="AF17" i="6"/>
  <c r="AD17" i="6"/>
  <c r="AF16" i="6"/>
  <c r="AE16" i="6"/>
  <c r="AD16" i="6"/>
  <c r="AF11" i="6"/>
  <c r="AD11" i="6"/>
  <c r="AF10" i="6"/>
  <c r="AE10" i="6"/>
  <c r="AD10" i="6"/>
  <c r="AD7" i="6"/>
  <c r="AE7" i="6"/>
  <c r="AF7" i="6"/>
  <c r="AD8" i="6"/>
  <c r="AF8" i="6"/>
  <c r="C9" i="8"/>
  <c r="E9" i="8"/>
  <c r="R12" i="6"/>
  <c r="F9" i="8" s="1"/>
  <c r="V9" i="2"/>
  <c r="V10" i="2" s="1"/>
  <c r="B8" i="6" s="1"/>
  <c r="B34" i="6" s="1"/>
  <c r="Q15" i="6"/>
  <c r="Q17" i="6"/>
  <c r="Q20" i="6"/>
  <c r="Q22" i="6"/>
  <c r="Y18" i="6"/>
  <c r="N18" i="6" s="1"/>
  <c r="Y23" i="6"/>
  <c r="N23" i="6" s="1"/>
  <c r="Y28" i="6"/>
  <c r="N28" i="6" s="1"/>
  <c r="Y33" i="6"/>
  <c r="N33" i="6" s="1"/>
  <c r="Y38" i="6"/>
  <c r="N38" i="6" s="1"/>
  <c r="Y43" i="6"/>
  <c r="N43" i="6" s="1"/>
  <c r="Y48" i="6"/>
  <c r="N48" i="6" s="1"/>
  <c r="Y53" i="6"/>
  <c r="N53" i="6" s="1"/>
  <c r="P4" i="6"/>
  <c r="E25" i="6"/>
  <c r="G25" i="6" s="1"/>
  <c r="E21" i="6"/>
  <c r="G21" i="6" s="1"/>
  <c r="S37" i="6"/>
  <c r="S35" i="6"/>
  <c r="R35" i="6"/>
  <c r="S32" i="6"/>
  <c r="S30" i="6"/>
  <c r="R30" i="6"/>
  <c r="J11" i="1"/>
  <c r="J13" i="1"/>
  <c r="J12" i="1"/>
  <c r="J14" i="1"/>
  <c r="E12" i="6"/>
  <c r="AE17" i="6" s="1"/>
  <c r="E8" i="6"/>
  <c r="R17" i="6" s="1"/>
  <c r="S22" i="6"/>
  <c r="R20" i="6"/>
  <c r="S20" i="6"/>
  <c r="S17" i="6"/>
  <c r="R15" i="6"/>
  <c r="S15" i="6"/>
  <c r="C2" i="2"/>
  <c r="C25" i="1"/>
  <c r="C5" i="1" s="1"/>
  <c r="C24" i="1"/>
  <c r="C4" i="1" s="1"/>
  <c r="C5" i="6" s="1"/>
  <c r="C10" i="6"/>
  <c r="C6" i="6"/>
  <c r="G41" i="6"/>
  <c r="G37" i="6"/>
  <c r="G33" i="6"/>
  <c r="E29" i="6"/>
  <c r="G29" i="6" s="1"/>
  <c r="G28" i="6"/>
  <c r="G24" i="6"/>
  <c r="G20" i="6"/>
  <c r="E16" i="6"/>
  <c r="G16" i="6" s="1"/>
  <c r="G15" i="6"/>
  <c r="G11" i="6"/>
  <c r="G7" i="6"/>
  <c r="C23" i="1"/>
  <c r="C3" i="1" s="1"/>
  <c r="C22" i="1"/>
  <c r="C2" i="1" s="1"/>
  <c r="K43" i="4"/>
  <c r="AB43" i="4" s="1"/>
  <c r="K39" i="4"/>
  <c r="AB39" i="4" s="1"/>
  <c r="AB24" i="4"/>
  <c r="J15" i="1"/>
  <c r="J16" i="1"/>
  <c r="A29" i="1"/>
  <c r="A32" i="1"/>
  <c r="A26" i="1"/>
  <c r="Z16" i="1"/>
  <c r="Z15" i="1"/>
  <c r="Z14" i="1"/>
  <c r="Z13" i="1"/>
  <c r="Z12" i="1"/>
  <c r="Z11" i="1"/>
  <c r="Z10" i="1"/>
  <c r="Z9" i="1"/>
  <c r="Z8" i="1"/>
  <c r="Z5" i="1"/>
  <c r="Z6" i="1"/>
  <c r="Z7" i="1"/>
  <c r="Z4" i="1"/>
  <c r="C14" i="2"/>
  <c r="C13" i="2"/>
  <c r="C12" i="2"/>
  <c r="C11" i="2"/>
  <c r="C10" i="2"/>
  <c r="C9" i="2"/>
  <c r="C8" i="2"/>
  <c r="C7" i="2"/>
  <c r="C6" i="2"/>
  <c r="C5" i="2"/>
  <c r="C4" i="2"/>
  <c r="C3" i="2"/>
  <c r="R16" i="3" l="1"/>
  <c r="R15" i="3"/>
  <c r="R6" i="3"/>
  <c r="R7" i="3"/>
  <c r="I25" i="3"/>
  <c r="H7" i="4" s="1"/>
  <c r="W19" i="4" s="1"/>
  <c r="AL13" i="4" s="1"/>
  <c r="I24" i="3"/>
  <c r="H6" i="4" s="1"/>
  <c r="W18" i="4" s="1"/>
  <c r="AL12" i="4" s="1"/>
  <c r="I15" i="3"/>
  <c r="H4" i="4" s="1"/>
  <c r="W16" i="4" s="1"/>
  <c r="AL10" i="4" s="1"/>
  <c r="I16" i="3"/>
  <c r="I7" i="3"/>
  <c r="I6" i="3"/>
  <c r="H2" i="4" s="1"/>
  <c r="W14" i="4" s="1"/>
  <c r="AL8" i="4" s="1"/>
  <c r="H19" i="4"/>
  <c r="W13" i="4" s="1"/>
  <c r="AL7" i="4" s="1"/>
  <c r="C16" i="4"/>
  <c r="R10" i="4" s="1"/>
  <c r="AG4" i="4" s="1"/>
  <c r="H17" i="4"/>
  <c r="W11" i="4" s="1"/>
  <c r="AL5" i="4" s="1"/>
  <c r="C14" i="4"/>
  <c r="R8" i="4" s="1"/>
  <c r="AG2" i="4" s="1"/>
  <c r="AN2" i="4" s="1"/>
  <c r="C64" i="4" s="1"/>
  <c r="R64" i="4" s="1"/>
  <c r="C12" i="4"/>
  <c r="R6" i="4" s="1"/>
  <c r="AG18" i="4" s="1"/>
  <c r="C10" i="4"/>
  <c r="R4" i="4" s="1"/>
  <c r="AG16" i="4" s="1"/>
  <c r="H11" i="4"/>
  <c r="W5" i="4" s="1"/>
  <c r="AL17" i="4" s="1"/>
  <c r="H10" i="4"/>
  <c r="W4" i="4" s="1"/>
  <c r="AL16" i="4" s="1"/>
  <c r="H9" i="4"/>
  <c r="W3" i="4" s="1"/>
  <c r="AL15" i="4" s="1"/>
  <c r="H8" i="4"/>
  <c r="W2" i="4" s="1"/>
  <c r="AL14" i="4" s="1"/>
  <c r="C6" i="4"/>
  <c r="R18" i="4" s="1"/>
  <c r="AG12" i="4" s="1"/>
  <c r="H5" i="4"/>
  <c r="W17" i="4" s="1"/>
  <c r="AL11" i="4" s="1"/>
  <c r="H3" i="4"/>
  <c r="W15" i="4" s="1"/>
  <c r="AL9" i="4" s="1"/>
  <c r="G15" i="3"/>
  <c r="F4" i="4" s="1"/>
  <c r="U16" i="4" s="1"/>
  <c r="AJ10" i="4" s="1"/>
  <c r="E16" i="3"/>
  <c r="G16" i="3" s="1"/>
  <c r="F5" i="4" s="1"/>
  <c r="U17" i="4" s="1"/>
  <c r="AJ11" i="4" s="1"/>
  <c r="V37" i="6"/>
  <c r="AF21" i="3"/>
  <c r="AF26" i="3"/>
  <c r="AC3" i="3"/>
  <c r="AE21" i="3"/>
  <c r="AE5" i="3"/>
  <c r="AE26" i="3"/>
  <c r="AC2" i="3"/>
  <c r="AC1" i="3"/>
  <c r="AD26" i="3"/>
  <c r="AD5" i="3"/>
  <c r="AD21" i="3"/>
  <c r="J8" i="1"/>
  <c r="K35" i="4"/>
  <c r="AB35" i="4" s="1"/>
  <c r="J10" i="1"/>
  <c r="G34" i="6"/>
  <c r="G12" i="6"/>
  <c r="J9" i="1"/>
  <c r="C17" i="4"/>
  <c r="R11" i="4" s="1"/>
  <c r="AG5" i="4" s="1"/>
  <c r="E7" i="3"/>
  <c r="G7" i="3" s="1"/>
  <c r="F3" i="4" s="1"/>
  <c r="M8" i="4" s="1"/>
  <c r="F61" i="4" s="1"/>
  <c r="U61" i="4" s="1"/>
  <c r="G6" i="3"/>
  <c r="F2" i="4" s="1"/>
  <c r="U14" i="4" s="1"/>
  <c r="AJ8" i="4" s="1"/>
  <c r="V47" i="6"/>
  <c r="V17" i="6"/>
  <c r="V15" i="6"/>
  <c r="V45" i="6"/>
  <c r="E36" i="5"/>
  <c r="V52" i="6"/>
  <c r="G38" i="6"/>
  <c r="AE23" i="6"/>
  <c r="H16" i="4"/>
  <c r="W10" i="4" s="1"/>
  <c r="AL4" i="4" s="1"/>
  <c r="V50" i="6"/>
  <c r="D39" i="6"/>
  <c r="H14" i="4"/>
  <c r="W8" i="4" s="1"/>
  <c r="AL2" i="4" s="1"/>
  <c r="AS2" i="4" s="1"/>
  <c r="H64" i="4" s="1"/>
  <c r="V64" i="4" s="1"/>
  <c r="R47" i="6"/>
  <c r="AE14" i="6"/>
  <c r="H15" i="4"/>
  <c r="W9" i="4" s="1"/>
  <c r="AL3" i="4" s="1"/>
  <c r="AS8" i="4" s="1"/>
  <c r="H65" i="4" s="1"/>
  <c r="V65" i="4" s="1"/>
  <c r="AE29" i="6"/>
  <c r="H12" i="4"/>
  <c r="W6" i="4" s="1"/>
  <c r="AL18" i="4" s="1"/>
  <c r="V35" i="6"/>
  <c r="R37" i="6"/>
  <c r="AE20" i="6"/>
  <c r="V32" i="6"/>
  <c r="C8" i="4"/>
  <c r="R2" i="4" s="1"/>
  <c r="AE26" i="6"/>
  <c r="R22" i="6"/>
  <c r="C4" i="4"/>
  <c r="R16" i="4" s="1"/>
  <c r="AG10" i="4" s="1"/>
  <c r="H18" i="4"/>
  <c r="W12" i="4" s="1"/>
  <c r="AL6" i="4" s="1"/>
  <c r="G42" i="6"/>
  <c r="C18" i="4"/>
  <c r="R12" i="4" s="1"/>
  <c r="AG6" i="4" s="1"/>
  <c r="J8" i="4"/>
  <c r="C61" i="4" s="1"/>
  <c r="R61" i="4" s="1"/>
  <c r="R15" i="4"/>
  <c r="AG9" i="4" s="1"/>
  <c r="AE8" i="6"/>
  <c r="G8" i="6"/>
  <c r="C2" i="4"/>
  <c r="J2" i="4" s="1"/>
  <c r="C60" i="4" s="1"/>
  <c r="R60" i="4" s="1"/>
  <c r="D9" i="6"/>
  <c r="D13" i="6" s="1"/>
  <c r="R32" i="6"/>
  <c r="D22" i="6"/>
  <c r="D26" i="6" s="1"/>
  <c r="P6" i="3"/>
  <c r="F8" i="4" s="1"/>
  <c r="U2" i="4" s="1"/>
  <c r="AJ14" i="4" s="1"/>
  <c r="AE11" i="6"/>
  <c r="AG15" i="4"/>
  <c r="Y8" i="4"/>
  <c r="C63" i="4" s="1"/>
  <c r="R63" i="4" s="1"/>
  <c r="E64" i="4"/>
  <c r="T64" i="4" s="1"/>
  <c r="AI14" i="4"/>
  <c r="AA2" i="4"/>
  <c r="AA8" i="4"/>
  <c r="AI15" i="4"/>
  <c r="L2" i="4"/>
  <c r="T14" i="4"/>
  <c r="AI8" i="4" s="1"/>
  <c r="AH14" i="4"/>
  <c r="Z2" i="4"/>
  <c r="D62" i="4" s="1"/>
  <c r="S62" i="4" s="1"/>
  <c r="T15" i="4"/>
  <c r="AI9" i="4" s="1"/>
  <c r="L8" i="4"/>
  <c r="K2" i="4"/>
  <c r="D60" i="4" s="1"/>
  <c r="S60" i="4" s="1"/>
  <c r="S14" i="4"/>
  <c r="AH8" i="4" s="1"/>
  <c r="E65" i="4"/>
  <c r="T65" i="4" s="1"/>
  <c r="E4" i="4"/>
  <c r="T16" i="4" s="1"/>
  <c r="AI10" i="4" s="1"/>
  <c r="H13" i="4"/>
  <c r="W7" i="4" s="1"/>
  <c r="AL19" i="4" s="1"/>
  <c r="C13" i="4"/>
  <c r="R7" i="4" s="1"/>
  <c r="AG19" i="4" s="1"/>
  <c r="AD30" i="5"/>
  <c r="AD32" i="5"/>
  <c r="AD31" i="5"/>
  <c r="AD25" i="5"/>
  <c r="V22" i="6"/>
  <c r="V30" i="6"/>
  <c r="V20" i="6"/>
  <c r="D5" i="6"/>
  <c r="C4" i="3"/>
  <c r="C13" i="3" s="1"/>
  <c r="P12" i="6"/>
  <c r="D9" i="8" s="1"/>
  <c r="B38" i="6"/>
  <c r="B12" i="6"/>
  <c r="B16" i="6"/>
  <c r="B42" i="6"/>
  <c r="B25" i="6"/>
  <c r="B21" i="6"/>
  <c r="B29" i="6"/>
  <c r="Q27" i="1"/>
  <c r="R27" i="1" s="1"/>
  <c r="Q30" i="1"/>
  <c r="R30" i="1" s="1"/>
  <c r="Q28" i="1"/>
  <c r="R28" i="1" s="1"/>
  <c r="Q31" i="1"/>
  <c r="R31" i="1" s="1"/>
  <c r="Q33" i="1"/>
  <c r="R33" i="1" s="1"/>
  <c r="Q32" i="1"/>
  <c r="R32" i="1" s="1"/>
  <c r="Q26" i="1"/>
  <c r="R26" i="1" s="1"/>
  <c r="Q29" i="1"/>
  <c r="R29" i="1" s="1"/>
  <c r="Q34" i="1"/>
  <c r="R34" i="1" s="1"/>
  <c r="H16" i="3" l="1"/>
  <c r="G5" i="4" s="1"/>
  <c r="V17" i="4" s="1"/>
  <c r="AK11" i="4" s="1"/>
  <c r="D5" i="4"/>
  <c r="S17" i="4" s="1"/>
  <c r="AH11" i="4" s="1"/>
  <c r="H15" i="3"/>
  <c r="G4" i="4" s="1"/>
  <c r="V16" i="4" s="1"/>
  <c r="AK10" i="4" s="1"/>
  <c r="AC25" i="5"/>
  <c r="AC31" i="5"/>
  <c r="AC32" i="5"/>
  <c r="AC30" i="5"/>
  <c r="U15" i="4"/>
  <c r="AJ9" i="4" s="1"/>
  <c r="H7" i="3"/>
  <c r="G3" i="4" s="1"/>
  <c r="N8" i="4" s="1"/>
  <c r="G61" i="4" s="1"/>
  <c r="D3" i="4"/>
  <c r="S15" i="4" s="1"/>
  <c r="AH9" i="4" s="1"/>
  <c r="M2" i="4"/>
  <c r="F60" i="4" s="1"/>
  <c r="U60" i="4" s="1"/>
  <c r="H6" i="3"/>
  <c r="G2" i="4" s="1"/>
  <c r="N2" i="4" s="1"/>
  <c r="G60" i="4" s="1"/>
  <c r="G41" i="5"/>
  <c r="G40" i="5" s="1"/>
  <c r="T10" i="5" s="1"/>
  <c r="C36" i="5"/>
  <c r="AG14" i="4"/>
  <c r="Y2" i="4"/>
  <c r="C62" i="4" s="1"/>
  <c r="R62" i="4" s="1"/>
  <c r="R14" i="4"/>
  <c r="AG8" i="4" s="1"/>
  <c r="AB2" i="4"/>
  <c r="F62" i="4" s="1"/>
  <c r="U62" i="4" s="1"/>
  <c r="Q6" i="3"/>
  <c r="G8" i="4" s="1"/>
  <c r="V2" i="4" s="1"/>
  <c r="AC2" i="4" s="1"/>
  <c r="G62" i="4" s="1"/>
  <c r="AD8" i="4"/>
  <c r="H63" i="4" s="1"/>
  <c r="V63" i="4" s="1"/>
  <c r="E63" i="4"/>
  <c r="T63" i="4" s="1"/>
  <c r="AD2" i="4"/>
  <c r="H62" i="4" s="1"/>
  <c r="V62" i="4" s="1"/>
  <c r="E62" i="4"/>
  <c r="T62" i="4" s="1"/>
  <c r="O8" i="4"/>
  <c r="H61" i="4" s="1"/>
  <c r="V61" i="4" s="1"/>
  <c r="E61" i="4"/>
  <c r="T61" i="4" s="1"/>
  <c r="O2" i="4"/>
  <c r="E60" i="4"/>
  <c r="T60" i="4" s="1"/>
  <c r="L4" i="3"/>
  <c r="H60" i="4" l="1"/>
  <c r="V60" i="4" s="1"/>
  <c r="AB30" i="5"/>
  <c r="AB32" i="5" s="1"/>
  <c r="V15" i="4"/>
  <c r="AK9" i="4" s="1"/>
  <c r="K8" i="4"/>
  <c r="D61" i="4" s="1"/>
  <c r="S61" i="4" s="1"/>
  <c r="V14" i="4"/>
  <c r="AK8" i="4" s="1"/>
  <c r="AK14" i="4"/>
  <c r="AH27" i="5"/>
  <c r="AD27" i="5" s="1"/>
  <c r="AH20" i="5"/>
  <c r="AH22" i="5"/>
  <c r="AD22" i="5" s="1"/>
  <c r="AJ21" i="5"/>
  <c r="AD21" i="5" s="1"/>
  <c r="AJ26" i="5"/>
  <c r="AD26" i="5" s="1"/>
  <c r="AJ20" i="5"/>
  <c r="AB31" i="5" l="1"/>
  <c r="K31" i="5" s="1"/>
  <c r="K30" i="5"/>
  <c r="K32" i="5"/>
  <c r="AC27" i="5"/>
  <c r="AC21" i="5"/>
  <c r="AC26" i="5"/>
  <c r="AC22" i="5"/>
  <c r="AD20" i="5"/>
  <c r="AB25" i="5" l="1"/>
  <c r="AB26" i="5" s="1"/>
  <c r="C34" i="1"/>
  <c r="J32" i="5"/>
  <c r="C32" i="1"/>
  <c r="D32" i="1" s="1"/>
  <c r="J30" i="5"/>
  <c r="J31" i="5"/>
  <c r="C33" i="1"/>
  <c r="AC20" i="5"/>
  <c r="AB20" i="5" s="1"/>
  <c r="D33" i="1" l="1"/>
  <c r="H33" i="1" s="1"/>
  <c r="G33" i="1" s="1"/>
  <c r="H32" i="1"/>
  <c r="G32" i="1" s="1"/>
  <c r="D34" i="1"/>
  <c r="H34" i="1" s="1"/>
  <c r="G34" i="1" s="1"/>
  <c r="AB27" i="5"/>
  <c r="K27" i="5" s="1"/>
  <c r="AB22" i="5"/>
  <c r="AB21" i="5"/>
  <c r="K26" i="5"/>
  <c r="K25" i="5"/>
  <c r="E32" i="1" l="1"/>
  <c r="E33" i="1"/>
  <c r="K21" i="5"/>
  <c r="C27" i="1" s="1"/>
  <c r="K22" i="5"/>
  <c r="J22" i="5" s="1"/>
  <c r="K20" i="5"/>
  <c r="J25" i="5"/>
  <c r="C29" i="1"/>
  <c r="D29" i="1" s="1"/>
  <c r="C30" i="1"/>
  <c r="J26" i="5"/>
  <c r="C31" i="1"/>
  <c r="J27" i="5"/>
  <c r="A33" i="1" l="1"/>
  <c r="H29" i="1"/>
  <c r="G29" i="1" s="1"/>
  <c r="D30" i="1"/>
  <c r="H30" i="1" s="1"/>
  <c r="G30" i="1" s="1"/>
  <c r="D31" i="1"/>
  <c r="H31" i="1" s="1"/>
  <c r="G31" i="1" s="1"/>
  <c r="D27" i="1"/>
  <c r="H27" i="1" s="1"/>
  <c r="G27" i="1" s="1"/>
  <c r="J21" i="5"/>
  <c r="C28" i="1"/>
  <c r="J20" i="5"/>
  <c r="C26" i="1"/>
  <c r="D26" i="1" l="1"/>
  <c r="D28" i="1"/>
  <c r="H28" i="1" s="1"/>
  <c r="G28" i="1" s="1"/>
  <c r="E29" i="1"/>
  <c r="E30" i="1"/>
  <c r="A30" i="1" l="1"/>
  <c r="H26" i="1"/>
  <c r="G26" i="1" s="1"/>
  <c r="I34" i="1" s="1"/>
  <c r="J34" i="1" s="1"/>
  <c r="E27" i="1"/>
  <c r="E26" i="1"/>
  <c r="L34" i="1" l="1"/>
  <c r="AK9" i="1"/>
  <c r="A27" i="1"/>
  <c r="A22" i="1" s="1"/>
  <c r="I32" i="1"/>
  <c r="I33" i="1"/>
  <c r="I31" i="1"/>
  <c r="I27" i="1"/>
  <c r="I26" i="1"/>
  <c r="I30" i="1"/>
  <c r="I29" i="1"/>
  <c r="I28" i="1"/>
  <c r="AL9" i="1"/>
  <c r="O34" i="1"/>
  <c r="A23" i="1" l="1"/>
  <c r="T24" i="1" s="1"/>
  <c r="T26" i="1" s="1"/>
  <c r="S26" i="1" s="1"/>
  <c r="AK8" i="1"/>
  <c r="J33" i="1"/>
  <c r="L33" i="1"/>
  <c r="L32" i="1"/>
  <c r="J32" i="1"/>
  <c r="AK7" i="1"/>
  <c r="J28" i="1"/>
  <c r="L28" i="1"/>
  <c r="AK3" i="1"/>
  <c r="L29" i="1"/>
  <c r="J29" i="1"/>
  <c r="AK4" i="1"/>
  <c r="AK5" i="1"/>
  <c r="J30" i="1"/>
  <c r="L30" i="1"/>
  <c r="AK1" i="1"/>
  <c r="L26" i="1"/>
  <c r="J26" i="1"/>
  <c r="L27" i="1"/>
  <c r="AK2" i="1"/>
  <c r="J27" i="1"/>
  <c r="J31" i="1"/>
  <c r="L31" i="1"/>
  <c r="AK6" i="1"/>
  <c r="H25" i="1" l="1"/>
  <c r="CO26" i="1" s="1"/>
  <c r="O32" i="1"/>
  <c r="AL7" i="1"/>
  <c r="AL8" i="1"/>
  <c r="O33" i="1"/>
  <c r="AL5" i="1"/>
  <c r="O30" i="1"/>
  <c r="O27" i="1"/>
  <c r="AL2" i="1"/>
  <c r="AL6" i="1"/>
  <c r="O31" i="1"/>
  <c r="O29" i="1"/>
  <c r="AL4" i="1"/>
  <c r="AL1" i="1"/>
  <c r="O26" i="1"/>
  <c r="O28" i="1"/>
  <c r="AL3" i="1"/>
  <c r="T27" i="1"/>
  <c r="T30" i="1" s="1"/>
  <c r="S30" i="1" s="1"/>
  <c r="T31" i="1"/>
  <c r="S31" i="1" s="1"/>
  <c r="T28" i="1"/>
  <c r="S28" i="1" s="1"/>
  <c r="BK29" i="1" l="1"/>
  <c r="BI29" i="1"/>
  <c r="BA34" i="1"/>
  <c r="BY29" i="1"/>
  <c r="DE26" i="1"/>
  <c r="AA31" i="1"/>
  <c r="BQ32" i="1"/>
  <c r="AY33" i="1"/>
  <c r="CM34" i="1"/>
  <c r="AI29" i="1"/>
  <c r="CA34" i="1"/>
  <c r="AQ29" i="1"/>
  <c r="CA27" i="1"/>
  <c r="DE31" i="1"/>
  <c r="F37" i="1"/>
  <c r="DA26" i="1"/>
  <c r="AE26" i="1"/>
  <c r="BW30" i="1"/>
  <c r="AI33" i="1"/>
  <c r="CM29" i="1"/>
  <c r="CW29" i="1"/>
  <c r="BK31" i="1"/>
  <c r="DO34" i="1"/>
  <c r="CK33" i="1"/>
  <c r="AQ33" i="1"/>
  <c r="BI31" i="1"/>
  <c r="AM31" i="1"/>
  <c r="BU31" i="1"/>
  <c r="BC27" i="1"/>
  <c r="AQ34" i="1"/>
  <c r="BK26" i="1"/>
  <c r="BG32" i="1"/>
  <c r="AK29" i="1"/>
  <c r="CQ31" i="1"/>
  <c r="BQ26" i="1"/>
  <c r="CS29" i="1"/>
  <c r="AQ28" i="1"/>
  <c r="BC31" i="1"/>
  <c r="CS33" i="1"/>
  <c r="F43" i="1"/>
  <c r="AU29" i="1"/>
  <c r="CG29" i="1"/>
  <c r="AG28" i="1"/>
  <c r="AA30" i="1"/>
  <c r="CS30" i="1"/>
  <c r="BE29" i="1"/>
  <c r="CO29" i="1"/>
  <c r="CM32" i="1"/>
  <c r="AM34" i="1"/>
  <c r="BW27" i="1"/>
  <c r="CM33" i="1"/>
  <c r="CY29" i="1"/>
  <c r="AW33" i="1"/>
  <c r="CQ34" i="1"/>
  <c r="BM31" i="1"/>
  <c r="AY26" i="1"/>
  <c r="BW33" i="1"/>
  <c r="DM27" i="1"/>
  <c r="AE34" i="1"/>
  <c r="BY32" i="1"/>
  <c r="DM33" i="1"/>
  <c r="CG32" i="1"/>
  <c r="BG26" i="1"/>
  <c r="AY31" i="1"/>
  <c r="BI34" i="1"/>
  <c r="AK27" i="1"/>
  <c r="AO28" i="1"/>
  <c r="DA30" i="1"/>
  <c r="AI26" i="1"/>
  <c r="CI28" i="1"/>
  <c r="AO34" i="1"/>
  <c r="CO30" i="1"/>
  <c r="CK32" i="1"/>
  <c r="CU26" i="1"/>
  <c r="CK30" i="1"/>
  <c r="DK33" i="1"/>
  <c r="BU33" i="1"/>
  <c r="BS31" i="1"/>
  <c r="CS27" i="1"/>
  <c r="AY28" i="1"/>
  <c r="DG34" i="1"/>
  <c r="BS29" i="1"/>
  <c r="CY30" i="1"/>
  <c r="CE26" i="1"/>
  <c r="AW34" i="1"/>
  <c r="BA28" i="1"/>
  <c r="DE33" i="1"/>
  <c r="CE29" i="1"/>
  <c r="AK34" i="1"/>
  <c r="CU28" i="1"/>
  <c r="DE34" i="1"/>
  <c r="BM28" i="1"/>
  <c r="CQ33" i="1"/>
  <c r="BI30" i="1"/>
  <c r="AY27" i="1"/>
  <c r="AY32" i="1"/>
  <c r="AQ26" i="1"/>
  <c r="DG33" i="1"/>
  <c r="DM32" i="1"/>
  <c r="DK27" i="1"/>
  <c r="CG28" i="1"/>
  <c r="AA26" i="1"/>
  <c r="CO32" i="1"/>
  <c r="CA30" i="1"/>
  <c r="AW28" i="1"/>
  <c r="CC31" i="1"/>
  <c r="CE32" i="1"/>
  <c r="BM32" i="1"/>
  <c r="DM26" i="1"/>
  <c r="CG31" i="1"/>
  <c r="AW26" i="1"/>
  <c r="AK28" i="1"/>
  <c r="BQ30" i="1"/>
  <c r="BS27" i="1"/>
  <c r="DI33" i="1"/>
  <c r="CU34" i="1"/>
  <c r="DG32" i="1"/>
  <c r="AM33" i="1"/>
  <c r="AE27" i="1"/>
  <c r="CG34" i="1"/>
  <c r="DA27" i="1"/>
  <c r="CY34" i="1"/>
  <c r="CQ29" i="1"/>
  <c r="BQ29" i="1"/>
  <c r="BG29" i="1"/>
  <c r="CQ30" i="1"/>
  <c r="DK31" i="1"/>
  <c r="AC28" i="1"/>
  <c r="CI30" i="1"/>
  <c r="BM30" i="1"/>
  <c r="CQ27" i="1"/>
  <c r="DE32" i="1"/>
  <c r="AK26" i="1"/>
  <c r="BU27" i="1"/>
  <c r="BC33" i="1"/>
  <c r="CM31" i="1"/>
  <c r="DO28" i="1"/>
  <c r="CE27" i="1"/>
  <c r="CW30" i="1"/>
  <c r="BE33" i="1"/>
  <c r="BO26" i="1"/>
  <c r="CQ32" i="1"/>
  <c r="AO31" i="1"/>
  <c r="DI27" i="1"/>
  <c r="AA27" i="1"/>
  <c r="CW28" i="1"/>
  <c r="BA31" i="1"/>
  <c r="DC26" i="1"/>
  <c r="CI31" i="1"/>
  <c r="BA29" i="1"/>
  <c r="CM27" i="1"/>
  <c r="DC33" i="1"/>
  <c r="AE29" i="1"/>
  <c r="CG26" i="1"/>
  <c r="BQ27" i="1"/>
  <c r="BM33" i="1"/>
  <c r="DA28" i="1"/>
  <c r="BS34" i="1"/>
  <c r="DG30" i="1"/>
  <c r="BY28" i="1"/>
  <c r="BG34" i="1"/>
  <c r="BE27" i="1"/>
  <c r="CY33" i="1"/>
  <c r="CE30" i="1"/>
  <c r="CI33" i="1"/>
  <c r="BM34" i="1"/>
  <c r="DG29" i="1"/>
  <c r="AU31" i="1"/>
  <c r="BQ33" i="1"/>
  <c r="AM32" i="1"/>
  <c r="BU29" i="1"/>
  <c r="CG27" i="1"/>
  <c r="AC29" i="1"/>
  <c r="CC32" i="1"/>
  <c r="CW26" i="1"/>
  <c r="CC33" i="1"/>
  <c r="DI26" i="1"/>
  <c r="AS29" i="1"/>
  <c r="BA33" i="1"/>
  <c r="CW33" i="1"/>
  <c r="CS31" i="1"/>
  <c r="BE31" i="1"/>
  <c r="CM28" i="1"/>
  <c r="DI30" i="1"/>
  <c r="AC31" i="1"/>
  <c r="AK31" i="1"/>
  <c r="BU30" i="1"/>
  <c r="DK26" i="1"/>
  <c r="AW29" i="1"/>
  <c r="BS26" i="1"/>
  <c r="AG32" i="1"/>
  <c r="AI31" i="1"/>
  <c r="BE34" i="1"/>
  <c r="AI28" i="1"/>
  <c r="BO30" i="1"/>
  <c r="AE32" i="1"/>
  <c r="CY28" i="1"/>
  <c r="CQ26" i="1"/>
  <c r="DE29" i="1"/>
  <c r="BM29" i="1"/>
  <c r="BO33" i="1"/>
  <c r="BK33" i="1"/>
  <c r="BK27" i="1"/>
  <c r="BY33" i="1"/>
  <c r="BO29" i="1"/>
  <c r="CA29" i="1"/>
  <c r="AS34" i="1"/>
  <c r="BQ31" i="1"/>
  <c r="DC31" i="1"/>
  <c r="AC26" i="1"/>
  <c r="CO33" i="1"/>
  <c r="CO28" i="1"/>
  <c r="AS32" i="1"/>
  <c r="DO30" i="1"/>
  <c r="CK31" i="1"/>
  <c r="AI30" i="1"/>
  <c r="AM30" i="1"/>
  <c r="CA26" i="1"/>
  <c r="CM26" i="1"/>
  <c r="DM31" i="1"/>
  <c r="AA32" i="1"/>
  <c r="CK28" i="1"/>
  <c r="CE31" i="1"/>
  <c r="AI34" i="1"/>
  <c r="AM26" i="1"/>
  <c r="AU33" i="1"/>
  <c r="BK30" i="1"/>
  <c r="AG33" i="1"/>
  <c r="BU26" i="1"/>
  <c r="AU28" i="1"/>
  <c r="DO29" i="1"/>
  <c r="AK33" i="1"/>
  <c r="BU32" i="1"/>
  <c r="BA32" i="1"/>
  <c r="BI32" i="1"/>
  <c r="CS28" i="1"/>
  <c r="BW29" i="1"/>
  <c r="BO32" i="1"/>
  <c r="AU26" i="1"/>
  <c r="DK30" i="1"/>
  <c r="CY32" i="1"/>
  <c r="AQ31" i="1"/>
  <c r="BA30" i="1"/>
  <c r="CS32" i="1"/>
  <c r="AC32" i="1"/>
  <c r="CW34" i="1"/>
  <c r="BG30" i="1"/>
  <c r="BI26" i="1"/>
  <c r="BY27" i="1"/>
  <c r="CY26" i="1"/>
  <c r="DO32" i="1"/>
  <c r="AS30" i="1"/>
  <c r="AS31" i="1"/>
  <c r="CK27" i="1"/>
  <c r="CK29" i="1"/>
  <c r="AG30" i="1"/>
  <c r="DA29" i="1"/>
  <c r="BQ28" i="1"/>
  <c r="CE34" i="1"/>
  <c r="DA34" i="1"/>
  <c r="BG27" i="1"/>
  <c r="AU30" i="1"/>
  <c r="AG27" i="1"/>
  <c r="CU31" i="1"/>
  <c r="CW31" i="1"/>
  <c r="CK34" i="1"/>
  <c r="BA27" i="1"/>
  <c r="BC29" i="1"/>
  <c r="DO27" i="1"/>
  <c r="AE30" i="1"/>
  <c r="BK32" i="1"/>
  <c r="AG31" i="1"/>
  <c r="DO31" i="1"/>
  <c r="CC34" i="1"/>
  <c r="CO31" i="1"/>
  <c r="BO28" i="1"/>
  <c r="AM28" i="1"/>
  <c r="BI33" i="1"/>
  <c r="CU27" i="1"/>
  <c r="DI29" i="1"/>
  <c r="CU32" i="1"/>
  <c r="BW26" i="1"/>
  <c r="DK34" i="1"/>
  <c r="DG28" i="1"/>
  <c r="BY30" i="1"/>
  <c r="CW32" i="1"/>
  <c r="BM26" i="1"/>
  <c r="BC30" i="1"/>
  <c r="AQ32" i="1"/>
  <c r="BW28" i="1"/>
  <c r="BA26" i="1"/>
  <c r="CE28" i="1"/>
  <c r="BW31" i="1"/>
  <c r="DK29" i="1"/>
  <c r="BW34" i="1"/>
  <c r="AG34" i="1"/>
  <c r="DK28" i="1"/>
  <c r="CQ28" i="1"/>
  <c r="AO29" i="1"/>
  <c r="BG33" i="1"/>
  <c r="DO26" i="1"/>
  <c r="AW32" i="1"/>
  <c r="DM28" i="1"/>
  <c r="AA33" i="1"/>
  <c r="BY34" i="1"/>
  <c r="DC27" i="1"/>
  <c r="CM30" i="1"/>
  <c r="CU29" i="1"/>
  <c r="AA28" i="1"/>
  <c r="BW32" i="1"/>
  <c r="CK26" i="1"/>
  <c r="CC27" i="1"/>
  <c r="AU34" i="1"/>
  <c r="BG28" i="1"/>
  <c r="BC28" i="1"/>
  <c r="CO34" i="1"/>
  <c r="BU28" i="1"/>
  <c r="AO32" i="1"/>
  <c r="CI26" i="1"/>
  <c r="AS28" i="1"/>
  <c r="DG31" i="1"/>
  <c r="BC32" i="1"/>
  <c r="AY34" i="1"/>
  <c r="CI34" i="1"/>
  <c r="BK34" i="1"/>
  <c r="DI34" i="1"/>
  <c r="AY29" i="1"/>
  <c r="DI32" i="1"/>
  <c r="CI27" i="1"/>
  <c r="AE31" i="1"/>
  <c r="BS28" i="1"/>
  <c r="BC26" i="1"/>
  <c r="BS30" i="1"/>
  <c r="DC29" i="1"/>
  <c r="AW30" i="1"/>
  <c r="DE28" i="1"/>
  <c r="BO27" i="1"/>
  <c r="CA32" i="1"/>
  <c r="DO33" i="1"/>
  <c r="CC29" i="1"/>
  <c r="AG29" i="1"/>
  <c r="DK32" i="1"/>
  <c r="BY31" i="1"/>
  <c r="CG33" i="1"/>
  <c r="CY27" i="1"/>
  <c r="CG30" i="1"/>
  <c r="AO30" i="1"/>
  <c r="BU34" i="1"/>
  <c r="AW27" i="1"/>
  <c r="AI32" i="1"/>
  <c r="DM34" i="1"/>
  <c r="DA31" i="1"/>
  <c r="AA34" i="1"/>
  <c r="AE33" i="1"/>
  <c r="AO27" i="1"/>
  <c r="BS33" i="1"/>
  <c r="CA33" i="1"/>
  <c r="BQ34" i="1"/>
  <c r="CW27" i="1"/>
  <c r="AO33" i="1"/>
  <c r="BO31" i="1"/>
  <c r="DI28" i="1"/>
  <c r="DI31" i="1"/>
  <c r="AU32" i="1"/>
  <c r="CU33" i="1"/>
  <c r="CE33" i="1"/>
  <c r="DC30" i="1"/>
  <c r="DE30" i="1"/>
  <c r="CA28" i="1"/>
  <c r="AE28" i="1"/>
  <c r="BE32" i="1"/>
  <c r="AC34" i="1"/>
  <c r="DM30" i="1"/>
  <c r="CI29" i="1"/>
  <c r="CS34" i="1"/>
  <c r="AS26" i="1"/>
  <c r="BY26" i="1"/>
  <c r="CI32" i="1"/>
  <c r="BE26" i="1"/>
  <c r="CU30" i="1"/>
  <c r="AC27" i="1"/>
  <c r="BI27" i="1"/>
  <c r="BE28" i="1"/>
  <c r="BM27" i="1"/>
  <c r="AW31" i="1"/>
  <c r="AM29" i="1"/>
  <c r="CY31" i="1"/>
  <c r="DM29" i="1"/>
  <c r="AS33" i="1"/>
  <c r="AK32" i="1"/>
  <c r="CO27" i="1"/>
  <c r="AM27" i="1"/>
  <c r="CA31" i="1"/>
  <c r="AC30" i="1"/>
  <c r="F40" i="1"/>
  <c r="AY30" i="1"/>
  <c r="AK30" i="1"/>
  <c r="AU27" i="1"/>
  <c r="CS26" i="1"/>
  <c r="BI28" i="1"/>
  <c r="AA29" i="1"/>
  <c r="DC28" i="1"/>
  <c r="AQ30" i="1"/>
  <c r="DA33" i="1"/>
  <c r="DC32" i="1"/>
  <c r="AO26" i="1"/>
  <c r="CC28" i="1"/>
  <c r="AC33" i="1"/>
  <c r="AS27" i="1"/>
  <c r="BS32" i="1"/>
  <c r="DE27" i="1"/>
  <c r="CC26" i="1"/>
  <c r="BK28" i="1"/>
  <c r="BG31" i="1"/>
  <c r="DG26" i="1"/>
  <c r="CC30" i="1"/>
  <c r="DC34" i="1"/>
  <c r="BO34" i="1"/>
  <c r="DG27" i="1"/>
  <c r="AI27" i="1"/>
  <c r="BE30" i="1"/>
  <c r="DA32" i="1"/>
  <c r="BC34" i="1"/>
  <c r="AG26" i="1"/>
  <c r="AQ27" i="1"/>
  <c r="S27" i="1"/>
  <c r="T29" i="1"/>
  <c r="S29" i="1" s="1"/>
  <c r="Y26" i="1" l="1"/>
  <c r="J36" i="1" s="1"/>
  <c r="C6" i="1" s="1"/>
  <c r="I4" i="1" s="1"/>
  <c r="Y32" i="1"/>
  <c r="Y29" i="1"/>
  <c r="J39" i="1" s="1"/>
  <c r="C9" i="1" s="1"/>
  <c r="J4" i="1" s="1"/>
  <c r="Y30" i="1"/>
  <c r="J40" i="1" s="1"/>
  <c r="C10" i="1" s="1"/>
  <c r="J5" i="1" s="1"/>
  <c r="AE9" i="3" s="1"/>
  <c r="J42" i="1"/>
  <c r="C12" i="1" s="1"/>
  <c r="Y28" i="1"/>
  <c r="J38" i="1" s="1"/>
  <c r="C8" i="1" s="1"/>
  <c r="I6" i="1" s="1"/>
  <c r="AD10" i="3" s="1"/>
  <c r="Y27" i="1"/>
  <c r="J37" i="1" s="1"/>
  <c r="C7" i="1" s="1"/>
  <c r="I5" i="1" s="1"/>
  <c r="I9" i="1" s="1"/>
  <c r="Y31" i="1"/>
  <c r="J41" i="1" s="1"/>
  <c r="C11" i="1" s="1"/>
  <c r="J6" i="1" s="1"/>
  <c r="B40" i="4" s="1"/>
  <c r="Q40" i="4" s="1"/>
  <c r="Y33" i="1"/>
  <c r="J43" i="1" s="1"/>
  <c r="C13" i="1" s="1"/>
  <c r="Y34" i="1"/>
  <c r="J44" i="1" s="1"/>
  <c r="C14" i="1" s="1"/>
  <c r="V4" i="1" l="1"/>
  <c r="AF8" i="3" s="1"/>
  <c r="V6" i="1"/>
  <c r="B44" i="4" s="1"/>
  <c r="Q44" i="4" s="1"/>
  <c r="E13" i="1"/>
  <c r="E7" i="1"/>
  <c r="I10" i="1"/>
  <c r="B36" i="4"/>
  <c r="Q36" i="4" s="1"/>
  <c r="B35" i="4"/>
  <c r="Q35" i="4" s="1"/>
  <c r="E9" i="1"/>
  <c r="E12" i="1"/>
  <c r="V5" i="1"/>
  <c r="B43" i="4" s="1"/>
  <c r="Q43" i="4" s="1"/>
  <c r="I13" i="1"/>
  <c r="AE10" i="3"/>
  <c r="AD9" i="3"/>
  <c r="E6" i="1"/>
  <c r="B39" i="4"/>
  <c r="Q39" i="4" s="1"/>
  <c r="I12" i="1"/>
  <c r="E10" i="1"/>
  <c r="I8" i="1"/>
  <c r="B34" i="4"/>
  <c r="Q34" i="4" s="1"/>
  <c r="AD8" i="3"/>
  <c r="B38" i="4"/>
  <c r="Q38" i="4" s="1"/>
  <c r="I11" i="1"/>
  <c r="AE8" i="3"/>
  <c r="I14" i="1" l="1"/>
  <c r="B42" i="4"/>
  <c r="Q42" i="4" s="1"/>
  <c r="P41" i="4" s="1"/>
  <c r="I16" i="1"/>
  <c r="A13" i="1"/>
  <c r="AF6" i="3" s="1"/>
  <c r="AF12" i="3" s="1"/>
  <c r="A7" i="1"/>
  <c r="AD6" i="3" s="1"/>
  <c r="AF10" i="3"/>
  <c r="P37" i="4"/>
  <c r="A10" i="1"/>
  <c r="X2" i="1" s="1"/>
  <c r="I15" i="1"/>
  <c r="AF9" i="3"/>
  <c r="O37" i="4"/>
  <c r="O33" i="4"/>
  <c r="P33" i="4"/>
  <c r="W2" i="1" l="1"/>
  <c r="O41" i="4"/>
  <c r="AD42" i="4" s="1"/>
  <c r="AE44" i="4" s="1"/>
  <c r="Y2" i="1"/>
  <c r="AE6" i="3"/>
  <c r="AE25" i="3" s="1"/>
  <c r="AD38" i="4"/>
  <c r="AE40" i="4" s="1"/>
  <c r="A1" i="1"/>
  <c r="B3" i="3" s="1"/>
  <c r="V5" i="3" s="1"/>
  <c r="AD12" i="3"/>
  <c r="AD1" i="3"/>
  <c r="AF25" i="3"/>
  <c r="AF27" i="3" s="1"/>
  <c r="AI1" i="3"/>
  <c r="AD3" i="3"/>
  <c r="AG1" i="3"/>
  <c r="AD25" i="3"/>
  <c r="AD27" i="3" s="1"/>
  <c r="AD2" i="3"/>
  <c r="AD34" i="4"/>
  <c r="AE36" i="4" s="1"/>
  <c r="AH1" i="3" l="1"/>
  <c r="AA2" i="1"/>
  <c r="W1" i="1" s="1"/>
  <c r="Z2" i="1"/>
  <c r="AE12" i="3"/>
  <c r="L14" i="3"/>
  <c r="N16" i="3" s="1"/>
  <c r="D11" i="4" s="1"/>
  <c r="S5" i="4" s="1"/>
  <c r="AH17" i="4" s="1"/>
  <c r="V14" i="3"/>
  <c r="X16" i="3" s="1"/>
  <c r="D17" i="4" s="1"/>
  <c r="S11" i="4" s="1"/>
  <c r="AH5" i="4" s="1"/>
  <c r="L5" i="3"/>
  <c r="C19" i="6" s="1"/>
  <c r="AF1" i="3"/>
  <c r="Y5" i="3"/>
  <c r="C32" i="6"/>
  <c r="W5" i="3"/>
  <c r="V4" i="3"/>
  <c r="X7" i="3"/>
  <c r="D15" i="4" s="1"/>
  <c r="S9" i="4" s="1"/>
  <c r="AH3" i="4" s="1"/>
  <c r="AO8" i="4" s="1"/>
  <c r="D65" i="4" s="1"/>
  <c r="S65" i="4" s="1"/>
  <c r="Z5" i="3"/>
  <c r="X5" i="3"/>
  <c r="Z6" i="3"/>
  <c r="AH16" i="3"/>
  <c r="AE27" i="3"/>
  <c r="AE1" i="3" l="1"/>
  <c r="AB2" i="1"/>
  <c r="J23" i="4" s="1"/>
  <c r="Y1" i="1"/>
  <c r="X1" i="1"/>
  <c r="P15" i="3"/>
  <c r="Q15" i="3" s="1"/>
  <c r="G10" i="4" s="1"/>
  <c r="V4" i="4" s="1"/>
  <c r="AK16" i="4" s="1"/>
  <c r="L13" i="3"/>
  <c r="X14" i="3"/>
  <c r="V13" i="3"/>
  <c r="C36" i="6"/>
  <c r="W14" i="3"/>
  <c r="N7" i="3"/>
  <c r="P7" i="3" s="1"/>
  <c r="Y14" i="3"/>
  <c r="Z14" i="3"/>
  <c r="C23" i="6"/>
  <c r="P16" i="3"/>
  <c r="Q16" i="3" s="1"/>
  <c r="G11" i="4" s="1"/>
  <c r="V5" i="4" s="1"/>
  <c r="AK17" i="4" s="1"/>
  <c r="Z15" i="3"/>
  <c r="F16" i="4" s="1"/>
  <c r="U10" i="4" s="1"/>
  <c r="AJ4" i="4" s="1"/>
  <c r="Z16" i="3"/>
  <c r="AA16" i="3" s="1"/>
  <c r="G17" i="4" s="1"/>
  <c r="V11" i="4" s="1"/>
  <c r="AK5" i="4" s="1"/>
  <c r="Z7" i="3"/>
  <c r="AA7" i="3" s="1"/>
  <c r="G15" i="4" s="1"/>
  <c r="V9" i="4" s="1"/>
  <c r="AK3" i="4" s="1"/>
  <c r="AR8" i="4" s="1"/>
  <c r="G65" i="4" s="1"/>
  <c r="D31" i="6"/>
  <c r="C31" i="6"/>
  <c r="F14" i="4"/>
  <c r="U8" i="4" s="1"/>
  <c r="AJ2" i="4" s="1"/>
  <c r="AQ2" i="4" s="1"/>
  <c r="F64" i="4" s="1"/>
  <c r="U64" i="4" s="1"/>
  <c r="AA6" i="3"/>
  <c r="G14" i="4" s="1"/>
  <c r="V8" i="4" s="1"/>
  <c r="AK2" i="4" s="1"/>
  <c r="AR2" i="4" s="1"/>
  <c r="G64" i="4" s="1"/>
  <c r="C18" i="6"/>
  <c r="D18" i="6"/>
  <c r="AA1" i="1" l="1"/>
  <c r="A16" i="1"/>
  <c r="B5" i="3" s="1"/>
  <c r="F10" i="4"/>
  <c r="U4" i="4" s="1"/>
  <c r="AJ16" i="4" s="1"/>
  <c r="D9" i="4"/>
  <c r="S3" i="4" s="1"/>
  <c r="AH15" i="4" s="1"/>
  <c r="F11" i="4"/>
  <c r="U5" i="4" s="1"/>
  <c r="AJ17" i="4" s="1"/>
  <c r="AA15" i="3"/>
  <c r="G16" i="4" s="1"/>
  <c r="V10" i="4" s="1"/>
  <c r="AK4" i="4" s="1"/>
  <c r="F17" i="4"/>
  <c r="U11" i="4" s="1"/>
  <c r="AJ5" i="4" s="1"/>
  <c r="F15" i="4"/>
  <c r="U9" i="4" s="1"/>
  <c r="AJ3" i="4" s="1"/>
  <c r="AQ8" i="4" s="1"/>
  <c r="F65" i="4" s="1"/>
  <c r="U65" i="4" s="1"/>
  <c r="F9" i="4"/>
  <c r="U3" i="4" s="1"/>
  <c r="Q7" i="3"/>
  <c r="G9" i="4" s="1"/>
  <c r="V3" i="4" s="1"/>
  <c r="U5" i="3" l="1"/>
  <c r="U14" i="3" s="1"/>
  <c r="U23" i="3" s="1"/>
  <c r="K5" i="3"/>
  <c r="K6" i="3" s="1"/>
  <c r="K7" i="3" s="1"/>
  <c r="L7" i="3" s="1"/>
  <c r="O4" i="6"/>
  <c r="Z8" i="4"/>
  <c r="D63" i="4" s="1"/>
  <c r="S63" i="4" s="1"/>
  <c r="AK15" i="4"/>
  <c r="AC8" i="4"/>
  <c r="G63" i="4" s="1"/>
  <c r="AB8" i="4"/>
  <c r="F63" i="4" s="1"/>
  <c r="U63" i="4" s="1"/>
  <c r="AJ15" i="4"/>
  <c r="K30" i="3"/>
  <c r="K28" i="3"/>
  <c r="B14" i="3"/>
  <c r="B23" i="3" s="1"/>
  <c r="B6" i="3"/>
  <c r="U29" i="3"/>
  <c r="AH25" i="3"/>
  <c r="K29" i="3"/>
  <c r="B29" i="3"/>
  <c r="B28" i="3"/>
  <c r="U28" i="3"/>
  <c r="U6" i="3" l="1"/>
  <c r="U15" i="3" s="1"/>
  <c r="U24" i="3" s="1"/>
  <c r="K14" i="3"/>
  <c r="K23" i="3" s="1"/>
  <c r="B6" i="6"/>
  <c r="B7" i="3"/>
  <c r="K25" i="4"/>
  <c r="AB25" i="4" s="1"/>
  <c r="B15" i="3"/>
  <c r="B24" i="3" s="1"/>
  <c r="L26" i="4"/>
  <c r="AB26" i="4" s="1"/>
  <c r="K15" i="3"/>
  <c r="K24" i="3" s="1"/>
  <c r="B19" i="6"/>
  <c r="AH21" i="3"/>
  <c r="AG27" i="3"/>
  <c r="AG26" i="3"/>
  <c r="U7" i="3" l="1"/>
  <c r="V6" i="3" s="1"/>
  <c r="K31" i="4"/>
  <c r="AB31" i="4" s="1"/>
  <c r="B32" i="6"/>
  <c r="B36" i="6" s="1"/>
  <c r="B27" i="6"/>
  <c r="B23" i="6"/>
  <c r="L6" i="3"/>
  <c r="K16" i="3"/>
  <c r="K25" i="3" s="1"/>
  <c r="L23" i="3" s="1"/>
  <c r="AG28" i="3"/>
  <c r="AG29" i="3"/>
  <c r="C6" i="3"/>
  <c r="B16" i="3"/>
  <c r="B25" i="3" s="1"/>
  <c r="C23" i="3" s="1"/>
  <c r="C7" i="3"/>
  <c r="C8" i="6" s="1"/>
  <c r="B15" i="6"/>
  <c r="B10" i="6"/>
  <c r="B14" i="6" s="1"/>
  <c r="B40" i="6" l="1"/>
  <c r="U16" i="3"/>
  <c r="U25" i="3" s="1"/>
  <c r="V23" i="3" s="1"/>
  <c r="Y23" i="3" s="1"/>
  <c r="V7" i="3"/>
  <c r="B15" i="4" s="1"/>
  <c r="Q9" i="4" s="1"/>
  <c r="AF3" i="4" s="1"/>
  <c r="AM8" i="4" s="1"/>
  <c r="AG25" i="3"/>
  <c r="AG21" i="3" s="1"/>
  <c r="C27" i="6"/>
  <c r="P23" i="3"/>
  <c r="N25" i="3"/>
  <c r="D13" i="4" s="1"/>
  <c r="S7" i="4" s="1"/>
  <c r="AH19" i="4" s="1"/>
  <c r="O23" i="3"/>
  <c r="L24" i="3"/>
  <c r="P24" i="3"/>
  <c r="M23" i="3"/>
  <c r="L22" i="3"/>
  <c r="N23" i="3"/>
  <c r="C10" i="3"/>
  <c r="B3" i="4"/>
  <c r="C20" i="6"/>
  <c r="B8" i="4"/>
  <c r="Q2" i="4" s="1"/>
  <c r="L9" i="3"/>
  <c r="C14" i="6"/>
  <c r="E25" i="3"/>
  <c r="F23" i="3"/>
  <c r="C24" i="3"/>
  <c r="E23" i="3"/>
  <c r="G23" i="3"/>
  <c r="G24" i="3"/>
  <c r="D23" i="3"/>
  <c r="C22" i="3"/>
  <c r="C21" i="6"/>
  <c r="B9" i="4"/>
  <c r="Q3" i="4" s="1"/>
  <c r="L10" i="3"/>
  <c r="B2" i="4"/>
  <c r="C9" i="3"/>
  <c r="C7" i="6"/>
  <c r="W23" i="3"/>
  <c r="Z24" i="3"/>
  <c r="B14" i="4"/>
  <c r="Q8" i="4" s="1"/>
  <c r="AF2" i="4" s="1"/>
  <c r="AM2" i="4" s="1"/>
  <c r="V9" i="3"/>
  <c r="C33" i="6"/>
  <c r="V22" i="3" l="1"/>
  <c r="X25" i="3"/>
  <c r="D19" i="4" s="1"/>
  <c r="S13" i="4" s="1"/>
  <c r="AH7" i="4" s="1"/>
  <c r="V24" i="3"/>
  <c r="B18" i="4" s="1"/>
  <c r="Q12" i="4" s="1"/>
  <c r="AF6" i="4" s="1"/>
  <c r="Z23" i="3"/>
  <c r="C40" i="6"/>
  <c r="X23" i="3"/>
  <c r="C34" i="6"/>
  <c r="R46" i="6" s="1"/>
  <c r="Q46" i="6" s="1"/>
  <c r="V10" i="3"/>
  <c r="B12" i="4"/>
  <c r="Q6" i="4" s="1"/>
  <c r="AF18" i="4" s="1"/>
  <c r="C28" i="6"/>
  <c r="B6" i="4"/>
  <c r="Q18" i="4" s="1"/>
  <c r="AF12" i="4" s="1"/>
  <c r="C15" i="6"/>
  <c r="C41" i="6"/>
  <c r="AE14" i="3"/>
  <c r="AE19" i="3" s="1"/>
  <c r="AF14" i="3"/>
  <c r="AF19" i="3" s="1"/>
  <c r="AD14" i="3"/>
  <c r="AD19" i="3" s="1"/>
  <c r="P25" i="3"/>
  <c r="Q25" i="3" s="1"/>
  <c r="G13" i="4" s="1"/>
  <c r="V7" i="4" s="1"/>
  <c r="AK19" i="4" s="1"/>
  <c r="Z25" i="3"/>
  <c r="AE13" i="3"/>
  <c r="AE17" i="3" s="1"/>
  <c r="AE22" i="3" s="1"/>
  <c r="F18" i="4"/>
  <c r="U12" i="4" s="1"/>
  <c r="AJ6" i="4" s="1"/>
  <c r="AA24" i="3"/>
  <c r="G18" i="4" s="1"/>
  <c r="V12" i="4" s="1"/>
  <c r="AK6" i="4" s="1"/>
  <c r="AC7" i="6"/>
  <c r="R14" i="6"/>
  <c r="Q14" i="6" s="1"/>
  <c r="H24" i="3"/>
  <c r="G6" i="4" s="1"/>
  <c r="V18" i="4" s="1"/>
  <c r="AK12" i="4" s="1"/>
  <c r="F6" i="4"/>
  <c r="U18" i="4" s="1"/>
  <c r="AJ12" i="4" s="1"/>
  <c r="X2" i="4"/>
  <c r="AF14" i="4"/>
  <c r="F12" i="4"/>
  <c r="U6" i="4" s="1"/>
  <c r="AJ18" i="4" s="1"/>
  <c r="Q24" i="3"/>
  <c r="G12" i="4" s="1"/>
  <c r="V6" i="4" s="1"/>
  <c r="AK18" i="4" s="1"/>
  <c r="R44" i="6"/>
  <c r="Q44" i="6" s="1"/>
  <c r="AC13" i="6"/>
  <c r="AC10" i="6"/>
  <c r="R29" i="6"/>
  <c r="Q29" i="6" s="1"/>
  <c r="AD13" i="3"/>
  <c r="AF13" i="3"/>
  <c r="Q14" i="4"/>
  <c r="AF8" i="4" s="1"/>
  <c r="I2" i="4"/>
  <c r="AC8" i="6"/>
  <c r="R16" i="6"/>
  <c r="Q16" i="6" s="1"/>
  <c r="B64" i="4"/>
  <c r="AM5" i="4"/>
  <c r="I8" i="4"/>
  <c r="Q15" i="4"/>
  <c r="AF9" i="4" s="1"/>
  <c r="X8" i="4"/>
  <c r="AF15" i="4"/>
  <c r="B65" i="4"/>
  <c r="AM11" i="4"/>
  <c r="R31" i="6"/>
  <c r="Q31" i="6" s="1"/>
  <c r="AC11" i="6"/>
  <c r="D7" i="4"/>
  <c r="S19" i="4" s="1"/>
  <c r="AH13" i="4" s="1"/>
  <c r="G25" i="3"/>
  <c r="AC14" i="6" l="1"/>
  <c r="AH14" i="6" s="1"/>
  <c r="AC25" i="6"/>
  <c r="R24" i="6"/>
  <c r="AC28" i="6"/>
  <c r="R39" i="6"/>
  <c r="AF18" i="3"/>
  <c r="R54" i="6"/>
  <c r="AC31" i="6"/>
  <c r="AE18" i="3"/>
  <c r="AD23" i="3" s="1"/>
  <c r="F13" i="4"/>
  <c r="U7" i="4" s="1"/>
  <c r="AJ19" i="4" s="1"/>
  <c r="F19" i="4"/>
  <c r="U13" i="4" s="1"/>
  <c r="AJ7" i="4" s="1"/>
  <c r="AA25" i="3"/>
  <c r="G19" i="4" s="1"/>
  <c r="V13" i="4" s="1"/>
  <c r="AK7" i="4" s="1"/>
  <c r="B61" i="4"/>
  <c r="I11" i="4"/>
  <c r="Q64" i="4"/>
  <c r="I64" i="4"/>
  <c r="AI11" i="6"/>
  <c r="AG11" i="6"/>
  <c r="AH11" i="6"/>
  <c r="AF17" i="3"/>
  <c r="AF22" i="3" s="1"/>
  <c r="Y31" i="6"/>
  <c r="Y32" i="6"/>
  <c r="AD17" i="3"/>
  <c r="AD22" i="3" s="1"/>
  <c r="C15" i="3" s="1"/>
  <c r="C11" i="6" s="1"/>
  <c r="AD18" i="3"/>
  <c r="B54" i="4"/>
  <c r="Q54" i="4" s="1"/>
  <c r="B31" i="4"/>
  <c r="Q31" i="4" s="1"/>
  <c r="B30" i="4"/>
  <c r="Q30" i="4" s="1"/>
  <c r="B53" i="4"/>
  <c r="Q53" i="4" s="1"/>
  <c r="X5" i="4"/>
  <c r="B62" i="4"/>
  <c r="Y30" i="6"/>
  <c r="Y29" i="6"/>
  <c r="AG14" i="6"/>
  <c r="Y16" i="6"/>
  <c r="Y17" i="6"/>
  <c r="AH10" i="6"/>
  <c r="AG10" i="6"/>
  <c r="AI10" i="6"/>
  <c r="Y46" i="6"/>
  <c r="Y47" i="6"/>
  <c r="X11" i="4"/>
  <c r="B63" i="4"/>
  <c r="AH8" i="6"/>
  <c r="AI8" i="6"/>
  <c r="AG8" i="6"/>
  <c r="AI13" i="6"/>
  <c r="AH13" i="6"/>
  <c r="AG13" i="6"/>
  <c r="Y15" i="6"/>
  <c r="Y14" i="6"/>
  <c r="I65" i="4"/>
  <c r="Q65" i="4"/>
  <c r="H25" i="3"/>
  <c r="G7" i="4" s="1"/>
  <c r="V19" i="4" s="1"/>
  <c r="AK13" i="4" s="1"/>
  <c r="F7" i="4"/>
  <c r="U19" i="4" s="1"/>
  <c r="AJ13" i="4" s="1"/>
  <c r="I5" i="4"/>
  <c r="B60" i="4"/>
  <c r="Y45" i="6"/>
  <c r="Y44" i="6"/>
  <c r="AI7" i="6"/>
  <c r="AH7" i="6"/>
  <c r="AG7" i="6"/>
  <c r="AI14" i="6" l="1"/>
  <c r="AF28" i="3"/>
  <c r="S40" i="6"/>
  <c r="R40" i="6"/>
  <c r="Q39" i="6"/>
  <c r="Q40" i="6"/>
  <c r="AI28" i="6"/>
  <c r="AH28" i="6"/>
  <c r="AG28" i="6"/>
  <c r="R25" i="6"/>
  <c r="Q25" i="6"/>
  <c r="Q24" i="6"/>
  <c r="S25" i="6"/>
  <c r="AG25" i="6"/>
  <c r="AI25" i="6"/>
  <c r="AH25" i="6"/>
  <c r="AH31" i="6"/>
  <c r="AI31" i="6"/>
  <c r="AG31" i="6"/>
  <c r="S55" i="6"/>
  <c r="Q54" i="6"/>
  <c r="R55" i="6"/>
  <c r="Q55" i="6"/>
  <c r="AC16" i="6"/>
  <c r="R19" i="6"/>
  <c r="Q19" i="6" s="1"/>
  <c r="V15" i="3"/>
  <c r="AE28" i="3"/>
  <c r="L25" i="3" s="1"/>
  <c r="AF23" i="3"/>
  <c r="L15" i="3"/>
  <c r="C24" i="6" s="1"/>
  <c r="Q60" i="4"/>
  <c r="I60" i="4"/>
  <c r="B49" i="4"/>
  <c r="Q49" i="4" s="1"/>
  <c r="B23" i="4"/>
  <c r="AD28" i="3"/>
  <c r="AE23" i="3"/>
  <c r="V16" i="3" s="1"/>
  <c r="I62" i="4"/>
  <c r="Q62" i="4"/>
  <c r="C18" i="3"/>
  <c r="B4" i="4"/>
  <c r="W64" i="4"/>
  <c r="P65" i="4"/>
  <c r="W65" i="4"/>
  <c r="B26" i="4"/>
  <c r="Q26" i="4" s="1"/>
  <c r="B51" i="4"/>
  <c r="Q51" i="4" s="1"/>
  <c r="Q63" i="4"/>
  <c r="I63" i="4"/>
  <c r="B24" i="4"/>
  <c r="Q24" i="4" s="1"/>
  <c r="B50" i="4"/>
  <c r="Q50" i="4" s="1"/>
  <c r="B52" i="4"/>
  <c r="Q52" i="4" s="1"/>
  <c r="B27" i="4"/>
  <c r="Q27" i="4" s="1"/>
  <c r="Q61" i="4"/>
  <c r="I61" i="4"/>
  <c r="C38" i="6" l="1"/>
  <c r="B17" i="4"/>
  <c r="Q11" i="4" s="1"/>
  <c r="AF5" i="4" s="1"/>
  <c r="V19" i="3"/>
  <c r="P64" i="4"/>
  <c r="Y40" i="6"/>
  <c r="N40" i="6" s="1"/>
  <c r="Y39" i="6"/>
  <c r="N39" i="6" s="1"/>
  <c r="Y24" i="6"/>
  <c r="Y25" i="6"/>
  <c r="B13" i="4"/>
  <c r="Q7" i="4" s="1"/>
  <c r="AF19" i="4" s="1"/>
  <c r="C29" i="6"/>
  <c r="Y55" i="6"/>
  <c r="Y54" i="6"/>
  <c r="B16" i="4"/>
  <c r="Q10" i="4" s="1"/>
  <c r="AF4" i="4" s="1"/>
  <c r="AM14" i="4" s="1"/>
  <c r="C37" i="6"/>
  <c r="AC19" i="6"/>
  <c r="R34" i="6"/>
  <c r="Q34" i="6" s="1"/>
  <c r="Y19" i="6"/>
  <c r="Y20" i="6"/>
  <c r="AG16" i="6"/>
  <c r="AH16" i="6"/>
  <c r="AI16" i="6"/>
  <c r="V18" i="3"/>
  <c r="B10" i="4"/>
  <c r="Q4" i="4" s="1"/>
  <c r="C16" i="3"/>
  <c r="C12" i="6" s="1"/>
  <c r="L16" i="3"/>
  <c r="C25" i="6" s="1"/>
  <c r="V25" i="3"/>
  <c r="C25" i="3"/>
  <c r="Q23" i="4"/>
  <c r="P63" i="4"/>
  <c r="W63" i="4"/>
  <c r="I14" i="4"/>
  <c r="Q16" i="4"/>
  <c r="AF10" i="4" s="1"/>
  <c r="P61" i="4"/>
  <c r="W61" i="4"/>
  <c r="W60" i="4"/>
  <c r="P60" i="4"/>
  <c r="P62" i="4"/>
  <c r="W62" i="4"/>
  <c r="AC23" i="6" l="1"/>
  <c r="R51" i="6"/>
  <c r="Q51" i="6" s="1"/>
  <c r="AC29" i="6"/>
  <c r="R41" i="6"/>
  <c r="B7" i="4"/>
  <c r="Q19" i="4" s="1"/>
  <c r="AF13" i="4" s="1"/>
  <c r="C16" i="6"/>
  <c r="L18" i="3"/>
  <c r="B19" i="4"/>
  <c r="Q13" i="4" s="1"/>
  <c r="AF7" i="4" s="1"/>
  <c r="AQ3" i="4" s="1"/>
  <c r="C42" i="6"/>
  <c r="AQ9" i="4"/>
  <c r="R49" i="6"/>
  <c r="Q49" i="6" s="1"/>
  <c r="AC22" i="6"/>
  <c r="AC20" i="6"/>
  <c r="R36" i="6"/>
  <c r="Q36" i="6" s="1"/>
  <c r="Y35" i="6"/>
  <c r="Y34" i="6"/>
  <c r="AG19" i="6"/>
  <c r="AH19" i="6"/>
  <c r="AI19" i="6"/>
  <c r="AC17" i="6"/>
  <c r="R21" i="6"/>
  <c r="Q21" i="6" s="1"/>
  <c r="AR3" i="4"/>
  <c r="AR5" i="4" s="1"/>
  <c r="G53" i="4" s="1"/>
  <c r="AR9" i="4"/>
  <c r="AR11" i="4" s="1"/>
  <c r="X14" i="4"/>
  <c r="AF16" i="4"/>
  <c r="AO14" i="4"/>
  <c r="AN14" i="4"/>
  <c r="AN15" i="4" s="1"/>
  <c r="AN17" i="4" s="1"/>
  <c r="C57" i="4" s="1"/>
  <c r="R57" i="4" s="1"/>
  <c r="AM17" i="4"/>
  <c r="AR14" i="4"/>
  <c r="AR15" i="4" s="1"/>
  <c r="AR17" i="4" s="1"/>
  <c r="G57" i="4" s="1"/>
  <c r="AP14" i="4"/>
  <c r="AP15" i="4" s="1"/>
  <c r="AP17" i="4" s="1"/>
  <c r="E57" i="4" s="1"/>
  <c r="T57" i="4" s="1"/>
  <c r="AQ14" i="4"/>
  <c r="AQ15" i="4" s="1"/>
  <c r="AF61" i="4"/>
  <c r="AJ61" i="4"/>
  <c r="AK61" i="4"/>
  <c r="AJ60" i="4"/>
  <c r="O59" i="4"/>
  <c r="AI60" i="4"/>
  <c r="AH61" i="4"/>
  <c r="AH60" i="4"/>
  <c r="AG60" i="4"/>
  <c r="AF60" i="4"/>
  <c r="AG61" i="4"/>
  <c r="AK60" i="4"/>
  <c r="AI61" i="4"/>
  <c r="P59" i="4"/>
  <c r="I17" i="4"/>
  <c r="B25" i="4" s="1"/>
  <c r="M14" i="4"/>
  <c r="L14" i="4"/>
  <c r="J14" i="4"/>
  <c r="N14" i="4"/>
  <c r="K14" i="4"/>
  <c r="B11" i="4"/>
  <c r="Q5" i="4" s="1"/>
  <c r="L19" i="3"/>
  <c r="C19" i="3"/>
  <c r="B5" i="4"/>
  <c r="Y51" i="6" l="1"/>
  <c r="Y52" i="6"/>
  <c r="AH23" i="6"/>
  <c r="AI23" i="6"/>
  <c r="AG23" i="6"/>
  <c r="AN3" i="4"/>
  <c r="AN5" i="4" s="1"/>
  <c r="C53" i="4" s="1"/>
  <c r="R53" i="4" s="1"/>
  <c r="AP3" i="4"/>
  <c r="AP5" i="4" s="1"/>
  <c r="E53" i="4" s="1"/>
  <c r="T53" i="4" s="1"/>
  <c r="AN9" i="4"/>
  <c r="AN11" i="4" s="1"/>
  <c r="C54" i="4" s="1"/>
  <c r="R54" i="4" s="1"/>
  <c r="Q25" i="4"/>
  <c r="M15" i="4"/>
  <c r="N15" i="4"/>
  <c r="N17" i="4" s="1"/>
  <c r="R26" i="6"/>
  <c r="AC26" i="6"/>
  <c r="S42" i="6"/>
  <c r="Q42" i="6"/>
  <c r="R42" i="6"/>
  <c r="Q41" i="6"/>
  <c r="AH29" i="6"/>
  <c r="AG29" i="6"/>
  <c r="AI29" i="6"/>
  <c r="R56" i="6"/>
  <c r="AC32" i="6"/>
  <c r="AO3" i="4"/>
  <c r="AO9" i="4"/>
  <c r="AP9" i="4"/>
  <c r="AP11" i="4" s="1"/>
  <c r="AG22" i="6"/>
  <c r="AI22" i="6"/>
  <c r="AH22" i="6"/>
  <c r="Y49" i="6"/>
  <c r="Y50" i="6"/>
  <c r="Y37" i="6"/>
  <c r="Y36" i="6"/>
  <c r="AH20" i="6"/>
  <c r="AI20" i="6"/>
  <c r="AG20" i="6"/>
  <c r="Y22" i="6"/>
  <c r="Y21" i="6"/>
  <c r="AG17" i="6"/>
  <c r="AH17" i="6"/>
  <c r="AI17" i="6"/>
  <c r="Y14" i="4"/>
  <c r="Y15" i="4" s="1"/>
  <c r="Y17" i="4" s="1"/>
  <c r="X17" i="4"/>
  <c r="Z14" i="4"/>
  <c r="AD14" i="4" s="1"/>
  <c r="AB14" i="4"/>
  <c r="AB15" i="4" s="1"/>
  <c r="AA14" i="4"/>
  <c r="AA15" i="4" s="1"/>
  <c r="AA17" i="4" s="1"/>
  <c r="E56" i="4" s="1"/>
  <c r="T56" i="4" s="1"/>
  <c r="AC14" i="4"/>
  <c r="AC15" i="4" s="1"/>
  <c r="AC17" i="4" s="1"/>
  <c r="G56" i="4" s="1"/>
  <c r="J15" i="4"/>
  <c r="J17" i="4" s="1"/>
  <c r="L15" i="4"/>
  <c r="L17" i="4" s="1"/>
  <c r="AS14" i="4"/>
  <c r="AO15" i="4"/>
  <c r="AS15" i="4" s="1"/>
  <c r="AF17" i="4"/>
  <c r="K3" i="4"/>
  <c r="O3" i="4" s="1"/>
  <c r="O4" i="4" s="1"/>
  <c r="Q17" i="4"/>
  <c r="AF11" i="4" s="1"/>
  <c r="M3" i="4"/>
  <c r="K9" i="4"/>
  <c r="N9" i="4"/>
  <c r="N11" i="4" s="1"/>
  <c r="G50" i="4" s="1"/>
  <c r="L9" i="4"/>
  <c r="L11" i="4" s="1"/>
  <c r="E50" i="4" s="1"/>
  <c r="L3" i="4"/>
  <c r="L5" i="4" s="1"/>
  <c r="E49" i="4" s="1"/>
  <c r="J3" i="4"/>
  <c r="J5" i="4" s="1"/>
  <c r="J9" i="4"/>
  <c r="J11" i="4" s="1"/>
  <c r="M9" i="4"/>
  <c r="N3" i="4"/>
  <c r="N5" i="4" s="1"/>
  <c r="G49" i="4" s="1"/>
  <c r="G23" i="4" s="1"/>
  <c r="AD60" i="4"/>
  <c r="B57" i="4"/>
  <c r="Q57" i="4" s="1"/>
  <c r="B32" i="4"/>
  <c r="K15" i="4"/>
  <c r="O14" i="4"/>
  <c r="AA3" i="4" l="1"/>
  <c r="AA5" i="4" s="1"/>
  <c r="E51" i="4" s="1"/>
  <c r="E26" i="4" s="1"/>
  <c r="T26" i="4" s="1"/>
  <c r="Y41" i="6"/>
  <c r="Y42" i="6"/>
  <c r="V42" i="6"/>
  <c r="V40" i="6"/>
  <c r="AI26" i="6"/>
  <c r="AH26" i="6"/>
  <c r="AG26" i="6"/>
  <c r="S27" i="6"/>
  <c r="Q26" i="6"/>
  <c r="R27" i="6"/>
  <c r="Q27" i="6"/>
  <c r="AS9" i="4"/>
  <c r="AS10" i="4" s="1"/>
  <c r="AS11" i="4" s="1"/>
  <c r="H54" i="4" s="1"/>
  <c r="V54" i="4" s="1"/>
  <c r="AO11" i="4"/>
  <c r="AS3" i="4"/>
  <c r="AS4" i="4" s="1"/>
  <c r="AS5" i="4" s="1"/>
  <c r="H53" i="4" s="1"/>
  <c r="V53" i="4" s="1"/>
  <c r="AO5" i="4"/>
  <c r="AG32" i="6"/>
  <c r="AI32" i="6"/>
  <c r="AH32" i="6"/>
  <c r="R57" i="6"/>
  <c r="S57" i="6"/>
  <c r="Q56" i="6"/>
  <c r="Q57" i="6"/>
  <c r="N34" i="6"/>
  <c r="N35" i="6"/>
  <c r="AB3" i="4"/>
  <c r="Z3" i="4"/>
  <c r="Z5" i="4" s="1"/>
  <c r="D51" i="4" s="1"/>
  <c r="Y3" i="4"/>
  <c r="Y5" i="4" s="1"/>
  <c r="C51" i="4" s="1"/>
  <c r="AC3" i="4"/>
  <c r="AC5" i="4" s="1"/>
  <c r="G51" i="4" s="1"/>
  <c r="G26" i="4" s="1"/>
  <c r="Z15" i="4"/>
  <c r="AD15" i="4" s="1"/>
  <c r="AD16" i="4" s="1"/>
  <c r="AD17" i="4" s="1"/>
  <c r="Z9" i="4"/>
  <c r="Z11" i="4" s="1"/>
  <c r="D52" i="4" s="1"/>
  <c r="Y9" i="4"/>
  <c r="Y11" i="4" s="1"/>
  <c r="C52" i="4" s="1"/>
  <c r="AB9" i="4"/>
  <c r="B56" i="4"/>
  <c r="Q56" i="4" s="1"/>
  <c r="B28" i="4"/>
  <c r="Q28" i="4" s="1"/>
  <c r="AA9" i="4"/>
  <c r="AA11" i="4" s="1"/>
  <c r="E52" i="4" s="1"/>
  <c r="AS16" i="4"/>
  <c r="AS17" i="4" s="1"/>
  <c r="H57" i="4" s="1"/>
  <c r="V57" i="4" s="1"/>
  <c r="G24" i="4"/>
  <c r="AO17" i="4"/>
  <c r="C56" i="4"/>
  <c r="R56" i="4" s="1"/>
  <c r="C50" i="4"/>
  <c r="O5" i="4"/>
  <c r="H49" i="4" s="1"/>
  <c r="K5" i="4"/>
  <c r="D49" i="4" s="1"/>
  <c r="C49" i="4"/>
  <c r="O15" i="4"/>
  <c r="O16" i="4" s="1"/>
  <c r="O17" i="4" s="1"/>
  <c r="B55" i="4" s="1"/>
  <c r="K17" i="4"/>
  <c r="M17" i="4" s="1"/>
  <c r="E23" i="4"/>
  <c r="T23" i="4" s="1"/>
  <c r="T49" i="4"/>
  <c r="Q32" i="4"/>
  <c r="T50" i="4"/>
  <c r="E24" i="4"/>
  <c r="T24" i="4" s="1"/>
  <c r="AE65" i="4"/>
  <c r="AE64" i="4"/>
  <c r="AE62" i="4"/>
  <c r="AE63" i="4"/>
  <c r="O9" i="4"/>
  <c r="O10" i="4" s="1"/>
  <c r="O11" i="4" s="1"/>
  <c r="H50" i="4" s="1"/>
  <c r="K11" i="4"/>
  <c r="D50" i="4" s="1"/>
  <c r="AC9" i="4"/>
  <c r="AC11" i="4" s="1"/>
  <c r="G52" i="4" s="1"/>
  <c r="G43" i="4" s="1"/>
  <c r="E43" i="4" l="1"/>
  <c r="T43" i="4" s="1"/>
  <c r="E30" i="4"/>
  <c r="T30" i="4" s="1"/>
  <c r="T51" i="4"/>
  <c r="E39" i="4"/>
  <c r="T39" i="4" s="1"/>
  <c r="E35" i="4"/>
  <c r="T35" i="4" s="1"/>
  <c r="V27" i="6"/>
  <c r="V25" i="6"/>
  <c r="Y26" i="6"/>
  <c r="Y27" i="6"/>
  <c r="N27" i="6" s="1"/>
  <c r="G30" i="4"/>
  <c r="V57" i="6"/>
  <c r="V55" i="6"/>
  <c r="Y57" i="6"/>
  <c r="Y56" i="6"/>
  <c r="AQ5" i="4"/>
  <c r="F53" i="4" s="1"/>
  <c r="D53" i="4"/>
  <c r="S53" i="4" s="1"/>
  <c r="AQ11" i="4"/>
  <c r="D54" i="4"/>
  <c r="AD3" i="4"/>
  <c r="AD4" i="4" s="1"/>
  <c r="AD5" i="4" s="1"/>
  <c r="H51" i="4" s="1"/>
  <c r="H26" i="4" s="1"/>
  <c r="V26" i="4" s="1"/>
  <c r="Z17" i="4"/>
  <c r="D56" i="4" s="1"/>
  <c r="S56" i="4" s="1"/>
  <c r="AD9" i="4"/>
  <c r="AD10" i="4" s="1"/>
  <c r="AD11" i="4" s="1"/>
  <c r="H52" i="4" s="1"/>
  <c r="H43" i="4" s="1"/>
  <c r="V43" i="4" s="1"/>
  <c r="C43" i="4"/>
  <c r="R43" i="4" s="1"/>
  <c r="H56" i="4"/>
  <c r="V56" i="4" s="1"/>
  <c r="C31" i="4"/>
  <c r="R31" i="4" s="1"/>
  <c r="C30" i="4"/>
  <c r="R30" i="4" s="1"/>
  <c r="H31" i="4"/>
  <c r="V31" i="4" s="1"/>
  <c r="E27" i="4"/>
  <c r="T27" i="4" s="1"/>
  <c r="T52" i="4"/>
  <c r="P22" i="4"/>
  <c r="O22" i="4"/>
  <c r="D57" i="4"/>
  <c r="S57" i="4" s="1"/>
  <c r="AQ17" i="4"/>
  <c r="F57" i="4" s="1"/>
  <c r="I57" i="4" s="1"/>
  <c r="W57" i="4" s="1"/>
  <c r="AB5" i="4"/>
  <c r="F51" i="4" s="1"/>
  <c r="R51" i="4"/>
  <c r="C26" i="4"/>
  <c r="R26" i="4" s="1"/>
  <c r="AB11" i="4"/>
  <c r="F52" i="4" s="1"/>
  <c r="S51" i="4"/>
  <c r="D26" i="4"/>
  <c r="S26" i="4" s="1"/>
  <c r="G35" i="4"/>
  <c r="G39" i="4"/>
  <c r="G27" i="4"/>
  <c r="AG62" i="4"/>
  <c r="AJ62" i="4"/>
  <c r="AH62" i="4"/>
  <c r="AK62" i="4"/>
  <c r="AI62" i="4"/>
  <c r="AF62" i="4"/>
  <c r="D23" i="4"/>
  <c r="S23" i="4" s="1"/>
  <c r="S49" i="4"/>
  <c r="D35" i="4"/>
  <c r="S35" i="4" s="1"/>
  <c r="AH64" i="4"/>
  <c r="AI64" i="4"/>
  <c r="AK64" i="4"/>
  <c r="AF64" i="4"/>
  <c r="AG64" i="4"/>
  <c r="AJ64" i="4"/>
  <c r="V49" i="4"/>
  <c r="H23" i="4"/>
  <c r="V23" i="4" s="1"/>
  <c r="C35" i="4"/>
  <c r="R35" i="4" s="1"/>
  <c r="C27" i="4"/>
  <c r="R27" i="4" s="1"/>
  <c r="R52" i="4"/>
  <c r="C39" i="4"/>
  <c r="R39" i="4" s="1"/>
  <c r="AH65" i="4"/>
  <c r="AK65" i="4"/>
  <c r="AI65" i="4"/>
  <c r="AJ65" i="4"/>
  <c r="AG65" i="4"/>
  <c r="AF65" i="4"/>
  <c r="M11" i="4"/>
  <c r="F50" i="4" s="1"/>
  <c r="I50" i="4" s="1"/>
  <c r="D39" i="4"/>
  <c r="S39" i="4" s="1"/>
  <c r="S52" i="4"/>
  <c r="D27" i="4"/>
  <c r="S27" i="4" s="1"/>
  <c r="H55" i="4"/>
  <c r="H34" i="4" s="1"/>
  <c r="V34" i="4" s="1"/>
  <c r="C55" i="4"/>
  <c r="C25" i="4" s="1"/>
  <c r="R25" i="4" s="1"/>
  <c r="Q55" i="4"/>
  <c r="R50" i="4"/>
  <c r="C24" i="4"/>
  <c r="R24" i="4" s="1"/>
  <c r="D24" i="4"/>
  <c r="S24" i="4" s="1"/>
  <c r="S50" i="4"/>
  <c r="H24" i="4"/>
  <c r="V24" i="4" s="1"/>
  <c r="V50" i="4"/>
  <c r="M5" i="4"/>
  <c r="F49" i="4" s="1"/>
  <c r="AI63" i="4"/>
  <c r="AK63" i="4"/>
  <c r="AG63" i="4"/>
  <c r="AJ63" i="4"/>
  <c r="AF63" i="4"/>
  <c r="AH63" i="4"/>
  <c r="P29" i="4"/>
  <c r="O29" i="4"/>
  <c r="R49" i="4"/>
  <c r="C23" i="4"/>
  <c r="R23" i="4" s="1"/>
  <c r="H30" i="4" l="1"/>
  <c r="V30" i="4" s="1"/>
  <c r="D31" i="4"/>
  <c r="S31" i="4" s="1"/>
  <c r="C36" i="4"/>
  <c r="R36" i="4" s="1"/>
  <c r="H36" i="4"/>
  <c r="V36" i="4" s="1"/>
  <c r="C42" i="4"/>
  <c r="R42" i="4" s="1"/>
  <c r="H25" i="4"/>
  <c r="V25" i="4" s="1"/>
  <c r="N41" i="6"/>
  <c r="N42" i="6"/>
  <c r="N57" i="6"/>
  <c r="N26" i="6"/>
  <c r="N36" i="6"/>
  <c r="N37" i="6"/>
  <c r="N25" i="6"/>
  <c r="N24" i="6"/>
  <c r="H39" i="4"/>
  <c r="V39" i="4" s="1"/>
  <c r="D30" i="4"/>
  <c r="S30" i="4" s="1"/>
  <c r="D43" i="4"/>
  <c r="S43" i="4" s="1"/>
  <c r="N21" i="6"/>
  <c r="N20" i="6"/>
  <c r="N19" i="6"/>
  <c r="N22" i="6"/>
  <c r="I51" i="4"/>
  <c r="W51" i="4" s="1"/>
  <c r="H42" i="4"/>
  <c r="V42" i="4" s="1"/>
  <c r="H35" i="4"/>
  <c r="V35" i="4" s="1"/>
  <c r="AB17" i="4"/>
  <c r="F56" i="4" s="1"/>
  <c r="U56" i="4" s="1"/>
  <c r="F30" i="4"/>
  <c r="U30" i="4" s="1"/>
  <c r="V51" i="4"/>
  <c r="I53" i="4"/>
  <c r="W53" i="4" s="1"/>
  <c r="U53" i="4"/>
  <c r="N56" i="6"/>
  <c r="N55" i="6"/>
  <c r="N51" i="6"/>
  <c r="N46" i="6"/>
  <c r="N49" i="6"/>
  <c r="N45" i="6"/>
  <c r="N32" i="6"/>
  <c r="N14" i="6"/>
  <c r="N29" i="6"/>
  <c r="N17" i="6"/>
  <c r="N44" i="6"/>
  <c r="N47" i="6"/>
  <c r="N30" i="6"/>
  <c r="N50" i="6"/>
  <c r="N31" i="6"/>
  <c r="N16" i="6"/>
  <c r="N54" i="6"/>
  <c r="N52" i="6"/>
  <c r="N15" i="6"/>
  <c r="S54" i="4"/>
  <c r="E54" i="4"/>
  <c r="H27" i="4"/>
  <c r="V27" i="4" s="1"/>
  <c r="V52" i="4"/>
  <c r="H32" i="4"/>
  <c r="V32" i="4" s="1"/>
  <c r="C32" i="4"/>
  <c r="R32" i="4" s="1"/>
  <c r="C38" i="4"/>
  <c r="R38" i="4" s="1"/>
  <c r="H38" i="4"/>
  <c r="V38" i="4" s="1"/>
  <c r="I52" i="4"/>
  <c r="F43" i="4"/>
  <c r="U43" i="4" s="1"/>
  <c r="H44" i="4"/>
  <c r="V44" i="4" s="1"/>
  <c r="C44" i="4"/>
  <c r="R44" i="4" s="1"/>
  <c r="C40" i="4"/>
  <c r="R40" i="4" s="1"/>
  <c r="H28" i="4"/>
  <c r="V28" i="4" s="1"/>
  <c r="H40" i="4"/>
  <c r="V40" i="4" s="1"/>
  <c r="C28" i="4"/>
  <c r="AD23" i="4"/>
  <c r="F39" i="4"/>
  <c r="U39" i="4" s="1"/>
  <c r="U52" i="4"/>
  <c r="U51" i="4"/>
  <c r="F26" i="4"/>
  <c r="U26" i="4" s="1"/>
  <c r="C34" i="4"/>
  <c r="R34" i="4" s="1"/>
  <c r="U57" i="4"/>
  <c r="F27" i="4"/>
  <c r="U27" i="4" s="1"/>
  <c r="AD30" i="4"/>
  <c r="AE32" i="4" s="1"/>
  <c r="F23" i="4"/>
  <c r="U23" i="4" s="1"/>
  <c r="U49" i="4"/>
  <c r="W50" i="4"/>
  <c r="U50" i="4"/>
  <c r="F24" i="4"/>
  <c r="U24" i="4" s="1"/>
  <c r="F35" i="4"/>
  <c r="U35" i="4" s="1"/>
  <c r="D55" i="4"/>
  <c r="R55" i="4"/>
  <c r="V55" i="4"/>
  <c r="I49" i="4"/>
  <c r="D38" i="4" l="1"/>
  <c r="S38" i="4" s="1"/>
  <c r="D36" i="4"/>
  <c r="S36" i="4" s="1"/>
  <c r="D42" i="4"/>
  <c r="S42" i="4" s="1"/>
  <c r="I56" i="4"/>
  <c r="W56" i="4" s="1"/>
  <c r="T54" i="4"/>
  <c r="F54" i="4"/>
  <c r="E31" i="4"/>
  <c r="T31" i="4" s="1"/>
  <c r="N59" i="6"/>
  <c r="N60" i="6"/>
  <c r="D32" i="4"/>
  <c r="S32" i="4" s="1"/>
  <c r="I35" i="4"/>
  <c r="W35" i="4" s="1"/>
  <c r="I30" i="4"/>
  <c r="I43" i="4"/>
  <c r="I26" i="4"/>
  <c r="W26" i="4" s="1"/>
  <c r="I27" i="4"/>
  <c r="W27" i="4" s="1"/>
  <c r="W52" i="4"/>
  <c r="I39" i="4"/>
  <c r="W39" i="4" s="1"/>
  <c r="D44" i="4"/>
  <c r="S44" i="4" s="1"/>
  <c r="D40" i="4"/>
  <c r="S40" i="4" s="1"/>
  <c r="D28" i="4"/>
  <c r="AE27" i="4"/>
  <c r="B32" i="3" s="1"/>
  <c r="AE28" i="4"/>
  <c r="B33" i="3" s="1"/>
  <c r="AE26" i="4"/>
  <c r="B31" i="3" s="1"/>
  <c r="AE25" i="4"/>
  <c r="B30" i="3" s="1"/>
  <c r="I24" i="4"/>
  <c r="W24" i="4" s="1"/>
  <c r="D25" i="4"/>
  <c r="S25" i="4" s="1"/>
  <c r="S55" i="4"/>
  <c r="E55" i="4"/>
  <c r="E42" i="4" s="1"/>
  <c r="T42" i="4" s="1"/>
  <c r="D34" i="4"/>
  <c r="S34" i="4" s="1"/>
  <c r="I23" i="4"/>
  <c r="W49" i="4"/>
  <c r="U30" i="3"/>
  <c r="E36" i="4" l="1"/>
  <c r="T36" i="4" s="1"/>
  <c r="N61" i="6"/>
  <c r="B2" i="8" s="1"/>
  <c r="G54" i="4"/>
  <c r="I54" i="4"/>
  <c r="U54" i="4"/>
  <c r="F31" i="4"/>
  <c r="U31" i="4" s="1"/>
  <c r="F36" i="4"/>
  <c r="U36" i="4" s="1"/>
  <c r="E38" i="4"/>
  <c r="T38" i="4" s="1"/>
  <c r="E32" i="4"/>
  <c r="T32" i="4" s="1"/>
  <c r="W43" i="4"/>
  <c r="W30" i="4"/>
  <c r="E44" i="4"/>
  <c r="T44" i="4" s="1"/>
  <c r="E28" i="4"/>
  <c r="E40" i="4"/>
  <c r="T40" i="4" s="1"/>
  <c r="W23" i="4"/>
  <c r="E34" i="4"/>
  <c r="T34" i="4" s="1"/>
  <c r="E25" i="4"/>
  <c r="T25" i="4" s="1"/>
  <c r="T55" i="4"/>
  <c r="F55" i="4"/>
  <c r="F42" i="4" s="1"/>
  <c r="U42" i="4" s="1"/>
  <c r="W54" i="4" l="1"/>
  <c r="I31" i="4"/>
  <c r="W31" i="4" s="1"/>
  <c r="G31" i="4"/>
  <c r="B28" i="8"/>
  <c r="B46" i="8"/>
  <c r="B49" i="8"/>
  <c r="B19" i="8"/>
  <c r="B37" i="8"/>
  <c r="B23" i="8"/>
  <c r="B14" i="8"/>
  <c r="B27" i="8"/>
  <c r="B17" i="8"/>
  <c r="B24" i="8"/>
  <c r="B22" i="8"/>
  <c r="B33" i="8"/>
  <c r="B53" i="8"/>
  <c r="B43" i="8"/>
  <c r="B12" i="8"/>
  <c r="B11" i="8"/>
  <c r="B38" i="8"/>
  <c r="B51" i="8"/>
  <c r="B31" i="8"/>
  <c r="B21" i="8"/>
  <c r="B13" i="8"/>
  <c r="B36" i="8"/>
  <c r="B16" i="8"/>
  <c r="B52" i="8"/>
  <c r="B26" i="8"/>
  <c r="B44" i="8"/>
  <c r="B29" i="8"/>
  <c r="B41" i="8"/>
  <c r="B47" i="8"/>
  <c r="B39" i="8"/>
  <c r="B18" i="8"/>
  <c r="B32" i="8"/>
  <c r="B34" i="8"/>
  <c r="B54" i="8"/>
  <c r="B48" i="8"/>
  <c r="B42" i="8"/>
  <c r="F38" i="4"/>
  <c r="U38" i="4" s="1"/>
  <c r="F32" i="4"/>
  <c r="U32" i="4" s="1"/>
  <c r="F28" i="4"/>
  <c r="F44" i="4"/>
  <c r="U44" i="4" s="1"/>
  <c r="F40" i="4"/>
  <c r="U40" i="4" s="1"/>
  <c r="U55" i="4"/>
  <c r="F25" i="4"/>
  <c r="U25" i="4" s="1"/>
  <c r="I55" i="4"/>
  <c r="I36" i="4" s="1"/>
  <c r="W36" i="4" s="1"/>
  <c r="F34" i="4"/>
  <c r="U34" i="4" s="1"/>
  <c r="G55" i="4"/>
  <c r="G42" i="4" s="1"/>
  <c r="G36" i="4" l="1"/>
  <c r="P57" i="4"/>
  <c r="I42" i="4"/>
  <c r="W42" i="4" s="1"/>
  <c r="P56" i="4"/>
  <c r="B50" i="8"/>
  <c r="D48" i="8"/>
  <c r="E48" i="8"/>
  <c r="F48" i="8"/>
  <c r="C48" i="8"/>
  <c r="D29" i="8"/>
  <c r="G29" i="8"/>
  <c r="I29" i="8"/>
  <c r="H29" i="8"/>
  <c r="F29" i="8"/>
  <c r="E29" i="8"/>
  <c r="C31" i="8"/>
  <c r="E31" i="8"/>
  <c r="B35" i="8"/>
  <c r="F31" i="8"/>
  <c r="D31" i="8"/>
  <c r="D22" i="8"/>
  <c r="I22" i="8"/>
  <c r="E22" i="8"/>
  <c r="F22" i="8"/>
  <c r="G22" i="8"/>
  <c r="H22" i="8"/>
  <c r="D49" i="8"/>
  <c r="G49" i="8"/>
  <c r="H49" i="8"/>
  <c r="F49" i="8"/>
  <c r="E49" i="8"/>
  <c r="I49" i="8"/>
  <c r="G54" i="8"/>
  <c r="H54" i="8"/>
  <c r="I54" i="8"/>
  <c r="F54" i="8"/>
  <c r="D54" i="8"/>
  <c r="E54" i="8"/>
  <c r="H44" i="8"/>
  <c r="D44" i="8"/>
  <c r="E44" i="8"/>
  <c r="G44" i="8"/>
  <c r="I44" i="8"/>
  <c r="F44" i="8"/>
  <c r="D51" i="8"/>
  <c r="E51" i="8"/>
  <c r="B55" i="8"/>
  <c r="F51" i="8"/>
  <c r="C51" i="8"/>
  <c r="F24" i="8"/>
  <c r="E24" i="8"/>
  <c r="I24" i="8"/>
  <c r="G24" i="8"/>
  <c r="D24" i="8"/>
  <c r="H24" i="8"/>
  <c r="F46" i="8"/>
  <c r="D46" i="8"/>
  <c r="E46" i="8"/>
  <c r="C46" i="8"/>
  <c r="G34" i="8"/>
  <c r="H34" i="8"/>
  <c r="D34" i="8"/>
  <c r="E34" i="8"/>
  <c r="F34" i="8"/>
  <c r="I34" i="8"/>
  <c r="F26" i="8"/>
  <c r="C26" i="8"/>
  <c r="D26" i="8"/>
  <c r="B30" i="8"/>
  <c r="E26" i="8"/>
  <c r="E38" i="8"/>
  <c r="F38" i="8"/>
  <c r="C38" i="8"/>
  <c r="D38" i="8"/>
  <c r="D17" i="8"/>
  <c r="F17" i="8"/>
  <c r="E17" i="8"/>
  <c r="I17" i="8"/>
  <c r="H17" i="8"/>
  <c r="G17" i="8"/>
  <c r="F28" i="8"/>
  <c r="E28" i="8"/>
  <c r="D28" i="8"/>
  <c r="C28" i="8"/>
  <c r="E32" i="8"/>
  <c r="F32" i="8"/>
  <c r="I32" i="8"/>
  <c r="D32" i="8"/>
  <c r="G32" i="8"/>
  <c r="H32" i="8"/>
  <c r="H52" i="8"/>
  <c r="D52" i="8"/>
  <c r="I52" i="8"/>
  <c r="F52" i="8"/>
  <c r="G52" i="8"/>
  <c r="E52" i="8"/>
  <c r="D11" i="8"/>
  <c r="E11" i="8"/>
  <c r="F11" i="8"/>
  <c r="B15" i="8"/>
  <c r="C11" i="8"/>
  <c r="D27" i="8"/>
  <c r="I27" i="8"/>
  <c r="E27" i="8"/>
  <c r="G27" i="8"/>
  <c r="F27" i="8"/>
  <c r="H27" i="8"/>
  <c r="D18" i="8"/>
  <c r="E18" i="8"/>
  <c r="C18" i="8"/>
  <c r="F18" i="8"/>
  <c r="E16" i="8"/>
  <c r="C16" i="8"/>
  <c r="D16" i="8"/>
  <c r="F16" i="8"/>
  <c r="B20" i="8"/>
  <c r="F12" i="8"/>
  <c r="H12" i="8"/>
  <c r="E12" i="8"/>
  <c r="D12" i="8"/>
  <c r="G12" i="8"/>
  <c r="I12" i="8"/>
  <c r="E14" i="8"/>
  <c r="H14" i="8"/>
  <c r="I14" i="8"/>
  <c r="D14" i="8"/>
  <c r="F14" i="8"/>
  <c r="G14" i="8"/>
  <c r="D39" i="8"/>
  <c r="I39" i="8"/>
  <c r="G39" i="8"/>
  <c r="F39" i="8"/>
  <c r="H39" i="8"/>
  <c r="E39" i="8"/>
  <c r="D36" i="8"/>
  <c r="C36" i="8"/>
  <c r="E36" i="8"/>
  <c r="F36" i="8"/>
  <c r="B40" i="8"/>
  <c r="F43" i="8"/>
  <c r="D43" i="8"/>
  <c r="C43" i="8"/>
  <c r="E43" i="8"/>
  <c r="C23" i="8"/>
  <c r="D23" i="8"/>
  <c r="F23" i="8"/>
  <c r="E23" i="8"/>
  <c r="D47" i="8"/>
  <c r="G47" i="8"/>
  <c r="I47" i="8"/>
  <c r="H47" i="8"/>
  <c r="E47" i="8"/>
  <c r="F47" i="8"/>
  <c r="C13" i="8"/>
  <c r="F13" i="8"/>
  <c r="E13" i="8"/>
  <c r="D13" i="8"/>
  <c r="H37" i="8"/>
  <c r="E37" i="8"/>
  <c r="D37" i="8"/>
  <c r="I37" i="8"/>
  <c r="F37" i="8"/>
  <c r="G37" i="8"/>
  <c r="E53" i="8"/>
  <c r="D53" i="8"/>
  <c r="C53" i="8"/>
  <c r="F53" i="8"/>
  <c r="E42" i="8"/>
  <c r="I42" i="8"/>
  <c r="G42" i="8"/>
  <c r="H42" i="8"/>
  <c r="F42" i="8"/>
  <c r="D42" i="8"/>
  <c r="F41" i="8"/>
  <c r="E41" i="8"/>
  <c r="C41" i="8"/>
  <c r="D41" i="8"/>
  <c r="B45" i="8"/>
  <c r="F21" i="8"/>
  <c r="B25" i="8"/>
  <c r="D21" i="8"/>
  <c r="C21" i="8"/>
  <c r="E21" i="8"/>
  <c r="D33" i="8"/>
  <c r="C33" i="8"/>
  <c r="F33" i="8"/>
  <c r="E33" i="8"/>
  <c r="F19" i="8"/>
  <c r="G19" i="8"/>
  <c r="H19" i="8"/>
  <c r="E19" i="8"/>
  <c r="D19" i="8"/>
  <c r="I19" i="8"/>
  <c r="P54" i="4"/>
  <c r="P53" i="4"/>
  <c r="P51" i="4"/>
  <c r="P52" i="4"/>
  <c r="P50" i="4"/>
  <c r="P49" i="4"/>
  <c r="G38" i="4"/>
  <c r="G32" i="4"/>
  <c r="I38" i="4"/>
  <c r="I32" i="4"/>
  <c r="G28" i="4"/>
  <c r="G44" i="4"/>
  <c r="G40" i="4"/>
  <c r="I44" i="4"/>
  <c r="I40" i="4"/>
  <c r="I28" i="4"/>
  <c r="G34" i="4"/>
  <c r="G25" i="4"/>
  <c r="I25" i="4"/>
  <c r="P55" i="4"/>
  <c r="I34" i="4"/>
  <c r="W55" i="4"/>
  <c r="P35" i="4" l="1"/>
  <c r="P36" i="4"/>
  <c r="P31" i="4"/>
  <c r="P30" i="4"/>
  <c r="P42" i="4"/>
  <c r="P43" i="4"/>
  <c r="P26" i="4"/>
  <c r="P27" i="4"/>
  <c r="P23" i="4"/>
  <c r="P24" i="4"/>
  <c r="W38" i="4"/>
  <c r="P39" i="4"/>
  <c r="P38" i="4"/>
  <c r="W32" i="4"/>
  <c r="P32" i="4"/>
  <c r="P28" i="4"/>
  <c r="W28" i="4"/>
  <c r="W40" i="4"/>
  <c r="P40" i="4"/>
  <c r="W44" i="4"/>
  <c r="P44" i="4"/>
  <c r="P34" i="4"/>
  <c r="W34" i="4"/>
  <c r="P47" i="4"/>
  <c r="O47" i="4"/>
  <c r="W25" i="4"/>
  <c r="P25" i="4"/>
  <c r="AK32" i="4" l="1"/>
  <c r="AH32" i="4"/>
  <c r="AI32" i="4"/>
  <c r="AF32" i="4"/>
  <c r="AG32" i="4"/>
  <c r="AJ32" i="4"/>
  <c r="AG40" i="4"/>
  <c r="M30" i="3" s="1"/>
  <c r="AG30" i="4"/>
  <c r="AJ31" i="4"/>
  <c r="AF31" i="4"/>
  <c r="AK31" i="4"/>
  <c r="AH30" i="4"/>
  <c r="AI30" i="4"/>
  <c r="AJ30" i="4"/>
  <c r="AF30" i="4"/>
  <c r="AI31" i="4"/>
  <c r="AH31" i="4"/>
  <c r="AK30" i="4"/>
  <c r="AG31" i="4"/>
  <c r="AG44" i="4"/>
  <c r="AK44" i="4"/>
  <c r="AH44" i="4"/>
  <c r="AF44" i="4"/>
  <c r="AI44" i="4"/>
  <c r="AJ44" i="4"/>
  <c r="AJ40" i="4"/>
  <c r="P30" i="3" s="1"/>
  <c r="AI40" i="4"/>
  <c r="O30" i="3" s="1"/>
  <c r="AK40" i="4"/>
  <c r="Q30" i="3" s="1"/>
  <c r="AH40" i="4"/>
  <c r="N30" i="3" s="1"/>
  <c r="AF40" i="4"/>
  <c r="L30" i="3" s="1"/>
  <c r="AF43" i="4"/>
  <c r="AG42" i="4"/>
  <c r="W28" i="3" s="1"/>
  <c r="AJ42" i="4"/>
  <c r="AG43" i="4"/>
  <c r="AH42" i="4"/>
  <c r="AI42" i="4"/>
  <c r="AH43" i="4"/>
  <c r="AK43" i="4"/>
  <c r="AK42" i="4"/>
  <c r="AJ43" i="4"/>
  <c r="AF42" i="4"/>
  <c r="AI43" i="4"/>
  <c r="AF38" i="4"/>
  <c r="L28" i="3" s="1"/>
  <c r="AJ38" i="4"/>
  <c r="P28" i="3" s="1"/>
  <c r="AG38" i="4"/>
  <c r="M28" i="3" s="1"/>
  <c r="AI38" i="4"/>
  <c r="O28" i="3" s="1"/>
  <c r="AF39" i="4"/>
  <c r="L29" i="3" s="1"/>
  <c r="AH38" i="4"/>
  <c r="N28" i="3" s="1"/>
  <c r="AI39" i="4"/>
  <c r="O29" i="3" s="1"/>
  <c r="AG39" i="4"/>
  <c r="M29" i="3" s="1"/>
  <c r="AK38" i="4"/>
  <c r="Q28" i="3" s="1"/>
  <c r="AJ39" i="4"/>
  <c r="P29" i="3" s="1"/>
  <c r="AK39" i="4"/>
  <c r="Q29" i="3" s="1"/>
  <c r="AH39" i="4"/>
  <c r="N29" i="3" s="1"/>
  <c r="AI28" i="4"/>
  <c r="F33" i="3" s="1"/>
  <c r="AH28" i="4"/>
  <c r="AG28" i="4"/>
  <c r="AF28" i="4"/>
  <c r="AK28" i="4"/>
  <c r="H33" i="3" s="1"/>
  <c r="AJ28" i="4"/>
  <c r="AD49" i="4"/>
  <c r="AI24" i="4"/>
  <c r="AK25" i="4"/>
  <c r="AK24" i="4"/>
  <c r="AH23" i="4"/>
  <c r="AH26" i="4"/>
  <c r="AJ27" i="4"/>
  <c r="AJ25" i="4"/>
  <c r="AI23" i="4"/>
  <c r="AH24" i="4"/>
  <c r="AG25" i="4"/>
  <c r="AG23" i="4"/>
  <c r="AG24" i="4"/>
  <c r="AJ26" i="4"/>
  <c r="G31" i="3" s="1"/>
  <c r="AF27" i="4"/>
  <c r="AG27" i="4"/>
  <c r="AK27" i="4"/>
  <c r="H32" i="3" s="1"/>
  <c r="AF26" i="4"/>
  <c r="C31" i="3" s="1"/>
  <c r="AH25" i="4"/>
  <c r="AF23" i="4"/>
  <c r="AF25" i="4"/>
  <c r="AF24" i="4"/>
  <c r="AI27" i="4"/>
  <c r="AH27" i="4"/>
  <c r="AK23" i="4"/>
  <c r="AJ24" i="4"/>
  <c r="AI25" i="4"/>
  <c r="AI26" i="4"/>
  <c r="AG26" i="4"/>
  <c r="AK26" i="4"/>
  <c r="H31" i="3" s="1"/>
  <c r="AJ23" i="4"/>
  <c r="AI36" i="4"/>
  <c r="AH35" i="4"/>
  <c r="AJ36" i="4"/>
  <c r="AH36" i="4"/>
  <c r="AK35" i="4"/>
  <c r="H29" i="3" s="1"/>
  <c r="AH34" i="4"/>
  <c r="E28" i="3" s="1"/>
  <c r="AG35" i="4"/>
  <c r="AK34" i="4"/>
  <c r="AK36" i="4"/>
  <c r="AJ35" i="4"/>
  <c r="AG34" i="4"/>
  <c r="AF36" i="4"/>
  <c r="AG36" i="4"/>
  <c r="AI34" i="4"/>
  <c r="AJ34" i="4"/>
  <c r="AF34" i="4"/>
  <c r="AI35" i="4"/>
  <c r="AF35" i="4"/>
  <c r="E30" i="3" l="1"/>
  <c r="V30" i="3"/>
  <c r="E33" i="3"/>
  <c r="G33" i="3"/>
  <c r="D31" i="3"/>
  <c r="X28" i="3"/>
  <c r="AA28" i="3"/>
  <c r="V29" i="3"/>
  <c r="X30" i="3"/>
  <c r="Y28" i="3"/>
  <c r="Z28" i="3"/>
  <c r="Z30" i="3"/>
  <c r="Y30" i="3"/>
  <c r="AA29" i="3"/>
  <c r="W29" i="3"/>
  <c r="D32" i="3"/>
  <c r="W30" i="3"/>
  <c r="F32" i="3"/>
  <c r="F31" i="3"/>
  <c r="C33" i="3"/>
  <c r="E32" i="3"/>
  <c r="C29" i="3"/>
  <c r="Z29" i="3"/>
  <c r="X29" i="3"/>
  <c r="AA30" i="3"/>
  <c r="G28" i="3"/>
  <c r="D30" i="3"/>
  <c r="H30" i="3"/>
  <c r="F30" i="3"/>
  <c r="Y29" i="3"/>
  <c r="V28" i="3"/>
  <c r="C32" i="3"/>
  <c r="D33" i="3"/>
  <c r="G32" i="3"/>
  <c r="E31" i="3"/>
  <c r="D29" i="3"/>
  <c r="C30" i="3"/>
  <c r="D28" i="3"/>
  <c r="G30" i="3"/>
  <c r="C28" i="3"/>
  <c r="F29" i="3"/>
  <c r="G29" i="3"/>
  <c r="H28" i="3"/>
  <c r="F28" i="3"/>
  <c r="E29" i="3"/>
  <c r="AE57" i="4"/>
  <c r="AB39" i="3" s="1"/>
  <c r="B15" i="7" s="1"/>
  <c r="AE54" i="4"/>
  <c r="AB36" i="3" s="1"/>
  <c r="B12" i="7" s="1"/>
  <c r="AE53" i="4"/>
  <c r="AB35" i="3" s="1"/>
  <c r="B11" i="7" s="1"/>
  <c r="AE52" i="4"/>
  <c r="AB34" i="3" s="1"/>
  <c r="B10" i="7" s="1"/>
  <c r="AE56" i="4"/>
  <c r="AB38" i="3" s="1"/>
  <c r="B14" i="7" s="1"/>
  <c r="AE50" i="4"/>
  <c r="AB32" i="3" s="1"/>
  <c r="B8" i="7" s="1"/>
  <c r="AE49" i="4"/>
  <c r="AB31" i="3" s="1"/>
  <c r="B7" i="7" s="1"/>
  <c r="AE55" i="4"/>
  <c r="AB37" i="3" s="1"/>
  <c r="B13" i="7" s="1"/>
  <c r="AE51" i="4"/>
  <c r="AB33" i="3" s="1"/>
  <c r="B9" i="7" s="1"/>
  <c r="AF55" i="4" l="1"/>
  <c r="AH55" i="4" s="1"/>
  <c r="AF37" i="3" s="1"/>
  <c r="F13" i="7" s="1"/>
  <c r="AF53" i="4"/>
  <c r="AH53" i="4" s="1"/>
  <c r="AF35" i="3" s="1"/>
  <c r="F11" i="7" s="1"/>
  <c r="AF57" i="4"/>
  <c r="AK57" i="4" s="1"/>
  <c r="AD39" i="3" s="1"/>
  <c r="D15" i="7" s="1"/>
  <c r="AF56" i="4"/>
  <c r="AF54" i="4"/>
  <c r="AC36" i="3" s="1"/>
  <c r="AI36" i="3" s="1"/>
  <c r="M12" i="7" s="1"/>
  <c r="AF52" i="4"/>
  <c r="AJ52" i="4" s="1"/>
  <c r="AH34" i="3" s="1"/>
  <c r="H10" i="7" s="1"/>
  <c r="AF51" i="4"/>
  <c r="AG51" i="4" s="1"/>
  <c r="AE33" i="3" s="1"/>
  <c r="E9" i="7" s="1"/>
  <c r="AF50" i="4"/>
  <c r="AG50" i="4" s="1"/>
  <c r="AE32" i="3" s="1"/>
  <c r="E8" i="7" s="1"/>
  <c r="AF49" i="4"/>
  <c r="AJ55" i="4" l="1"/>
  <c r="AH37" i="3" s="1"/>
  <c r="H13" i="7" s="1"/>
  <c r="AI55" i="4"/>
  <c r="AG37" i="3" s="1"/>
  <c r="G13" i="7" s="1"/>
  <c r="AK55" i="4"/>
  <c r="AD37" i="3" s="1"/>
  <c r="D13" i="7" s="1"/>
  <c r="AG55" i="4"/>
  <c r="AE37" i="3" s="1"/>
  <c r="E13" i="7" s="1"/>
  <c r="AC37" i="3"/>
  <c r="AI37" i="3" s="1"/>
  <c r="M13" i="7" s="1"/>
  <c r="AK49" i="4"/>
  <c r="AD31" i="3" s="1"/>
  <c r="D7" i="7" s="1"/>
  <c r="AK53" i="4"/>
  <c r="AD35" i="3" s="1"/>
  <c r="D11" i="7" s="1"/>
  <c r="AJ53" i="4"/>
  <c r="AH35" i="3" s="1"/>
  <c r="H11" i="7" s="1"/>
  <c r="AI53" i="4"/>
  <c r="AG35" i="3" s="1"/>
  <c r="G11" i="7" s="1"/>
  <c r="AG53" i="4"/>
  <c r="AE35" i="3" s="1"/>
  <c r="E11" i="7" s="1"/>
  <c r="AC35" i="3"/>
  <c r="C11" i="7" s="1"/>
  <c r="AB46" i="6" s="1"/>
  <c r="AC39" i="3"/>
  <c r="AI39" i="3" s="1"/>
  <c r="M15" i="7" s="1"/>
  <c r="AJ57" i="4"/>
  <c r="AH39" i="3" s="1"/>
  <c r="H15" i="7" s="1"/>
  <c r="AH57" i="4"/>
  <c r="AF39" i="3" s="1"/>
  <c r="F15" i="7" s="1"/>
  <c r="AI57" i="4"/>
  <c r="AG39" i="3" s="1"/>
  <c r="G15" i="7" s="1"/>
  <c r="AG57" i="4"/>
  <c r="AE39" i="3" s="1"/>
  <c r="E15" i="7" s="1"/>
  <c r="AG56" i="4"/>
  <c r="AE38" i="3" s="1"/>
  <c r="E14" i="7" s="1"/>
  <c r="AK56" i="4"/>
  <c r="AD38" i="3" s="1"/>
  <c r="D14" i="7" s="1"/>
  <c r="AJ56" i="4"/>
  <c r="AH38" i="3" s="1"/>
  <c r="H14" i="7" s="1"/>
  <c r="AI56" i="4"/>
  <c r="AG38" i="3" s="1"/>
  <c r="G14" i="7" s="1"/>
  <c r="AC38" i="3"/>
  <c r="AH56" i="4"/>
  <c r="AF38" i="3" s="1"/>
  <c r="F14" i="7" s="1"/>
  <c r="AK51" i="4"/>
  <c r="AD33" i="3" s="1"/>
  <c r="D9" i="7" s="1"/>
  <c r="AJ51" i="4"/>
  <c r="AH33" i="3" s="1"/>
  <c r="H9" i="7" s="1"/>
  <c r="AH52" i="4"/>
  <c r="AF34" i="3" s="1"/>
  <c r="F10" i="7" s="1"/>
  <c r="AJ50" i="4"/>
  <c r="AH32" i="3" s="1"/>
  <c r="H8" i="7" s="1"/>
  <c r="C12" i="7"/>
  <c r="AB49" i="6" s="1"/>
  <c r="AC50" i="6" s="1"/>
  <c r="AI51" i="4"/>
  <c r="AG33" i="3" s="1"/>
  <c r="G9" i="7" s="1"/>
  <c r="AG52" i="4"/>
  <c r="AE34" i="3" s="1"/>
  <c r="E10" i="7" s="1"/>
  <c r="AK52" i="4"/>
  <c r="AD34" i="3" s="1"/>
  <c r="D10" i="7" s="1"/>
  <c r="AK50" i="4"/>
  <c r="AD32" i="3" s="1"/>
  <c r="D8" i="7" s="1"/>
  <c r="AC32" i="3"/>
  <c r="AI32" i="3" s="1"/>
  <c r="M8" i="7" s="1"/>
  <c r="AI54" i="4"/>
  <c r="AG36" i="3" s="1"/>
  <c r="G12" i="7" s="1"/>
  <c r="AH54" i="4"/>
  <c r="AF36" i="3" s="1"/>
  <c r="F12" i="7" s="1"/>
  <c r="AG54" i="4"/>
  <c r="AE36" i="3" s="1"/>
  <c r="E12" i="7" s="1"/>
  <c r="AJ54" i="4"/>
  <c r="AH36" i="3" s="1"/>
  <c r="H12" i="7" s="1"/>
  <c r="AC33" i="3"/>
  <c r="AI33" i="3" s="1"/>
  <c r="M9" i="7" s="1"/>
  <c r="AK54" i="4"/>
  <c r="AD36" i="3" s="1"/>
  <c r="D12" i="7" s="1"/>
  <c r="AI50" i="4"/>
  <c r="AG32" i="3" s="1"/>
  <c r="G8" i="7" s="1"/>
  <c r="AH51" i="4"/>
  <c r="AF33" i="3" s="1"/>
  <c r="F9" i="7" s="1"/>
  <c r="AH50" i="4"/>
  <c r="AF32" i="3" s="1"/>
  <c r="F8" i="7" s="1"/>
  <c r="AC34" i="3"/>
  <c r="AI52" i="4"/>
  <c r="AG34" i="3" s="1"/>
  <c r="G10" i="7" s="1"/>
  <c r="AH49" i="4"/>
  <c r="AF31" i="3" s="1"/>
  <c r="F7" i="7" s="1"/>
  <c r="AG49" i="4"/>
  <c r="AE31" i="3" s="1"/>
  <c r="E7" i="7" s="1"/>
  <c r="AJ49" i="4"/>
  <c r="AH31" i="3" s="1"/>
  <c r="H7" i="7" s="1"/>
  <c r="AC31" i="3"/>
  <c r="C7" i="7" s="1"/>
  <c r="AB34" i="6" s="1"/>
  <c r="AC34" i="6" s="1"/>
  <c r="AI49" i="4"/>
  <c r="AG31" i="3" s="1"/>
  <c r="G7" i="7" s="1"/>
  <c r="C13" i="7" l="1"/>
  <c r="AB52" i="6" s="1"/>
  <c r="AE52" i="6" s="1"/>
  <c r="AH51" i="6"/>
  <c r="AI35" i="3"/>
  <c r="M11" i="7" s="1"/>
  <c r="C15" i="7"/>
  <c r="AB58" i="6" s="1"/>
  <c r="AE59" i="6" s="1"/>
  <c r="AF49" i="6"/>
  <c r="C14" i="7"/>
  <c r="AI38" i="3"/>
  <c r="M14" i="7" s="1"/>
  <c r="AD50" i="6"/>
  <c r="AF50" i="6"/>
  <c r="AI49" i="6"/>
  <c r="AD49" i="6"/>
  <c r="AG49" i="6"/>
  <c r="AE49" i="6"/>
  <c r="AC51" i="6"/>
  <c r="AE51" i="6"/>
  <c r="AC49" i="6"/>
  <c r="AI50" i="6"/>
  <c r="AH49" i="6"/>
  <c r="AI51" i="6"/>
  <c r="AE50" i="6"/>
  <c r="AF51" i="6"/>
  <c r="AD51" i="6"/>
  <c r="AG50" i="6"/>
  <c r="AH50" i="6"/>
  <c r="AG51" i="6"/>
  <c r="C8" i="7"/>
  <c r="AB37" i="6" s="1"/>
  <c r="AF39" i="6" s="1"/>
  <c r="AD34" i="6"/>
  <c r="AE35" i="6"/>
  <c r="AC35" i="6"/>
  <c r="AI34" i="6"/>
  <c r="AE36" i="6"/>
  <c r="AH34" i="6"/>
  <c r="AE34" i="6"/>
  <c r="AI36" i="6"/>
  <c r="AF36" i="6"/>
  <c r="AH35" i="6"/>
  <c r="AH36" i="6"/>
  <c r="AC36" i="6"/>
  <c r="AD35" i="6"/>
  <c r="AG36" i="6"/>
  <c r="AF35" i="6"/>
  <c r="AG35" i="6"/>
  <c r="AG34" i="6"/>
  <c r="AI35" i="6"/>
  <c r="AF34" i="6"/>
  <c r="AD36" i="6"/>
  <c r="C9" i="7"/>
  <c r="AB40" i="6" s="1"/>
  <c r="AE41" i="6" s="1"/>
  <c r="AI34" i="3"/>
  <c r="M10" i="7" s="1"/>
  <c r="C10" i="7"/>
  <c r="AB43" i="6" s="1"/>
  <c r="AI45" i="6" s="1"/>
  <c r="AI31" i="3"/>
  <c r="M7" i="7" s="1"/>
  <c r="AE46" i="6"/>
  <c r="AD46" i="6"/>
  <c r="AI47" i="6"/>
  <c r="AE47" i="6"/>
  <c r="AG46" i="6"/>
  <c r="AE48" i="6"/>
  <c r="AC48" i="6"/>
  <c r="AC47" i="6"/>
  <c r="AH47" i="6"/>
  <c r="AD48" i="6"/>
  <c r="AF46" i="6"/>
  <c r="AG47" i="6"/>
  <c r="AF47" i="6"/>
  <c r="AF48" i="6"/>
  <c r="AD47" i="6"/>
  <c r="AC46" i="6"/>
  <c r="AH48" i="6"/>
  <c r="AI46" i="6"/>
  <c r="AH46" i="6"/>
  <c r="AI48" i="6"/>
  <c r="AG48" i="6"/>
  <c r="AD53" i="6" l="1"/>
  <c r="AD52" i="6"/>
  <c r="AI52" i="6"/>
  <c r="AG54" i="6"/>
  <c r="AF54" i="6"/>
  <c r="AI54" i="6"/>
  <c r="AF52" i="6"/>
  <c r="AH52" i="6"/>
  <c r="AC52" i="6"/>
  <c r="AE54" i="6"/>
  <c r="AD54" i="6"/>
  <c r="AC54" i="6"/>
  <c r="AE53" i="6"/>
  <c r="AC53" i="6"/>
  <c r="AH54" i="6"/>
  <c r="AF53" i="6"/>
  <c r="AG53" i="6"/>
  <c r="AH53" i="6"/>
  <c r="AI53" i="6"/>
  <c r="AG52" i="6"/>
  <c r="AI39" i="6"/>
  <c r="AB55" i="6"/>
  <c r="AG38" i="6"/>
  <c r="AL49" i="6"/>
  <c r="L12" i="7" s="1"/>
  <c r="AJ49" i="6"/>
  <c r="J12" i="7" s="1"/>
  <c r="AG37" i="6"/>
  <c r="AK49" i="6"/>
  <c r="K12" i="7" s="1"/>
  <c r="AE38" i="6"/>
  <c r="AE37" i="6"/>
  <c r="AE39" i="6"/>
  <c r="AI37" i="6"/>
  <c r="AD39" i="6"/>
  <c r="AK34" i="6"/>
  <c r="K7" i="7" s="1"/>
  <c r="AH37" i="6"/>
  <c r="AD38" i="6"/>
  <c r="AF37" i="6"/>
  <c r="AH39" i="6"/>
  <c r="AD37" i="6"/>
  <c r="AF41" i="6"/>
  <c r="AD42" i="6"/>
  <c r="AI40" i="6"/>
  <c r="AD40" i="6"/>
  <c r="AF38" i="6"/>
  <c r="AC39" i="6"/>
  <c r="AC37" i="6"/>
  <c r="AG39" i="6"/>
  <c r="AH38" i="6"/>
  <c r="AL34" i="6"/>
  <c r="L7" i="7" s="1"/>
  <c r="AI38" i="6"/>
  <c r="AC38" i="6"/>
  <c r="AJ34" i="6"/>
  <c r="J7" i="7" s="1"/>
  <c r="AC45" i="6"/>
  <c r="AD45" i="6"/>
  <c r="AI44" i="6"/>
  <c r="AD44" i="6"/>
  <c r="AF43" i="6"/>
  <c r="AG44" i="6"/>
  <c r="AC44" i="6"/>
  <c r="AF45" i="6"/>
  <c r="AH43" i="6"/>
  <c r="AC43" i="6"/>
  <c r="AF44" i="6"/>
  <c r="AD43" i="6"/>
  <c r="AE43" i="6"/>
  <c r="AH44" i="6"/>
  <c r="AG43" i="6"/>
  <c r="AI43" i="6"/>
  <c r="AH45" i="6"/>
  <c r="AG45" i="6"/>
  <c r="AE44" i="6"/>
  <c r="AE45" i="6"/>
  <c r="AH41" i="6"/>
  <c r="AG40" i="6"/>
  <c r="AI42" i="6"/>
  <c r="AF42" i="6"/>
  <c r="AH58" i="6"/>
  <c r="AF60" i="6"/>
  <c r="AI58" i="6"/>
  <c r="AG59" i="6"/>
  <c r="AE60" i="6"/>
  <c r="AI59" i="6"/>
  <c r="AG60" i="6"/>
  <c r="AD59" i="6"/>
  <c r="AE58" i="6"/>
  <c r="AD60" i="6"/>
  <c r="AH60" i="6"/>
  <c r="AF59" i="6"/>
  <c r="AC58" i="6"/>
  <c r="AC59" i="6"/>
  <c r="AF58" i="6"/>
  <c r="AC60" i="6"/>
  <c r="AE42" i="6"/>
  <c r="AH40" i="6"/>
  <c r="AF40" i="6"/>
  <c r="AC41" i="6"/>
  <c r="AE40" i="6"/>
  <c r="AI41" i="6"/>
  <c r="AC40" i="6"/>
  <c r="AH42" i="6"/>
  <c r="AC42" i="6"/>
  <c r="AD41" i="6"/>
  <c r="AG42" i="6"/>
  <c r="AG41" i="6"/>
  <c r="AH59" i="6"/>
  <c r="AI60" i="6"/>
  <c r="AD58" i="6"/>
  <c r="AG58" i="6"/>
  <c r="AK46" i="6"/>
  <c r="K11" i="7" s="1"/>
  <c r="AL46" i="6"/>
  <c r="L11" i="7" s="1"/>
  <c r="AJ46" i="6"/>
  <c r="J11" i="7" s="1"/>
  <c r="AL52" i="6" l="1"/>
  <c r="L13" i="7" s="1"/>
  <c r="AJ52" i="6"/>
  <c r="J13" i="7" s="1"/>
  <c r="AK52" i="6"/>
  <c r="K13" i="7" s="1"/>
  <c r="AG57" i="6"/>
  <c r="AH55" i="6"/>
  <c r="AH56" i="6"/>
  <c r="AC56" i="6"/>
  <c r="AI57" i="6"/>
  <c r="AG55" i="6"/>
  <c r="AG56" i="6"/>
  <c r="AI56" i="6"/>
  <c r="AF55" i="6"/>
  <c r="AD57" i="6"/>
  <c r="AD55" i="6"/>
  <c r="AD56" i="6"/>
  <c r="AE56" i="6"/>
  <c r="AE57" i="6"/>
  <c r="AI55" i="6"/>
  <c r="AF57" i="6"/>
  <c r="AE55" i="6"/>
  <c r="AF56" i="6"/>
  <c r="AC57" i="6"/>
  <c r="AH57" i="6"/>
  <c r="AC55" i="6"/>
  <c r="AJ37" i="6"/>
  <c r="J8" i="7" s="1"/>
  <c r="AL37" i="6"/>
  <c r="L8" i="7" s="1"/>
  <c r="AK37" i="6"/>
  <c r="K8" i="7" s="1"/>
  <c r="AL43" i="6"/>
  <c r="L10" i="7" s="1"/>
  <c r="AJ43" i="6"/>
  <c r="J10" i="7" s="1"/>
  <c r="AL40" i="6"/>
  <c r="L9" i="7" s="1"/>
  <c r="AK43" i="6"/>
  <c r="K10" i="7" s="1"/>
  <c r="AJ40" i="6"/>
  <c r="J9" i="7" s="1"/>
  <c r="AL58" i="6"/>
  <c r="L15" i="7" s="1"/>
  <c r="AK58" i="6"/>
  <c r="K15" i="7" s="1"/>
  <c r="AK40" i="6"/>
  <c r="K9" i="7" s="1"/>
  <c r="AJ58" i="6"/>
  <c r="J15" i="7" s="1"/>
  <c r="AJ55" i="6" l="1"/>
  <c r="J14" i="7" s="1"/>
  <c r="AK55" i="6"/>
  <c r="K14" i="7" s="1"/>
  <c r="AL55" i="6"/>
  <c r="L14" i="7" s="1"/>
</calcChain>
</file>

<file path=xl/sharedStrings.xml><?xml version="1.0" encoding="utf-8"?>
<sst xmlns="http://schemas.openxmlformats.org/spreadsheetml/2006/main" count="1612" uniqueCount="440">
  <si>
    <t>ALGRANGE</t>
  </si>
  <si>
    <t>AUDUN VILLERUPT</t>
  </si>
  <si>
    <t>BAN SAINT MARTIN</t>
  </si>
  <si>
    <t>COURCELLES SUR NIED</t>
  </si>
  <si>
    <t>FLORANGE</t>
  </si>
  <si>
    <t>GANDRANGE</t>
  </si>
  <si>
    <t>HAGONDANGE</t>
  </si>
  <si>
    <t>KNUTANGE</t>
  </si>
  <si>
    <t>MAGNY</t>
  </si>
  <si>
    <t>METZ</t>
  </si>
  <si>
    <t>MOYEUVRE</t>
  </si>
  <si>
    <t>PETITE ROSELLE</t>
  </si>
  <si>
    <t>SAINT AVOLD</t>
  </si>
  <si>
    <t>SARREGUEMINES</t>
  </si>
  <si>
    <t>THIONVILLE</t>
  </si>
  <si>
    <t>BELLET Alain</t>
  </si>
  <si>
    <t>BONNEFOY Joel</t>
  </si>
  <si>
    <t>BORRACCINO Michel</t>
  </si>
  <si>
    <t>CASTELLS Henri</t>
  </si>
  <si>
    <t>BUCHHEIT Bernard</t>
  </si>
  <si>
    <t>MESA José</t>
  </si>
  <si>
    <t>GOUVERNEL Pierre</t>
  </si>
  <si>
    <t>GEORGES Bertrand</t>
  </si>
  <si>
    <t>BELLINI Jacques</t>
  </si>
  <si>
    <t>FEDERICI Jean</t>
  </si>
  <si>
    <t>JALABERT Jean-Paul</t>
  </si>
  <si>
    <t>KLEIN Christophe</t>
  </si>
  <si>
    <t>FRANCK Pascal</t>
  </si>
  <si>
    <t>CATTIN Gilles</t>
  </si>
  <si>
    <t>CLAUSS Frédéric</t>
  </si>
  <si>
    <t>CADEL Jacques</t>
  </si>
  <si>
    <t>GUCKERT Christian</t>
  </si>
  <si>
    <t>MINDE Benoît</t>
  </si>
  <si>
    <t>REININGER Robert</t>
  </si>
  <si>
    <t>MARCONI Dominique</t>
  </si>
  <si>
    <t>POLEWCZYK Michel</t>
  </si>
  <si>
    <t>LECLERC Philippe</t>
  </si>
  <si>
    <t>CAMPOLI Jean louis</t>
  </si>
  <si>
    <t>DAL CORTIVO Paul</t>
  </si>
  <si>
    <t>DE VREESE Pierre</t>
  </si>
  <si>
    <t>LEGRAND Robert</t>
  </si>
  <si>
    <t>GEORGES Marcel</t>
  </si>
  <si>
    <t>MAILLAT Emmanuel</t>
  </si>
  <si>
    <t>DALLA TORRE Gérard</t>
  </si>
  <si>
    <t>FANK François</t>
  </si>
  <si>
    <t>IANOTTO Joëlle</t>
  </si>
  <si>
    <t>SPAGNOLO Luigi</t>
  </si>
  <si>
    <t>RUZZON Bruno</t>
  </si>
  <si>
    <t>RAVAGLI François</t>
  </si>
  <si>
    <t>FERBACH Jean-Jacques</t>
  </si>
  <si>
    <t>MATHIS Jean</t>
  </si>
  <si>
    <t>MALVAREZ Jean</t>
  </si>
  <si>
    <t>PANCALDI Walter</t>
  </si>
  <si>
    <t>KLEINHENTZ Hubert</t>
  </si>
  <si>
    <t>LAVAINE Fabien</t>
  </si>
  <si>
    <t>LEMONT Sylvain</t>
  </si>
  <si>
    <t>LENA Daniel</t>
  </si>
  <si>
    <t>RAULY Richard</t>
  </si>
  <si>
    <t>POIROT Dominique</t>
  </si>
  <si>
    <t>PARISOT Dominique</t>
  </si>
  <si>
    <t>ROSELLO Guy</t>
  </si>
  <si>
    <t>ODVA Christian</t>
  </si>
  <si>
    <t>TRITZ Herve</t>
  </si>
  <si>
    <t>NGUYEN Van Luan</t>
  </si>
  <si>
    <t>SANTARELLI Gaston</t>
  </si>
  <si>
    <t>BOURY Bernard</t>
  </si>
  <si>
    <t>SCHOEPP Romain</t>
  </si>
  <si>
    <t>RONCK Denis</t>
  </si>
  <si>
    <t>KAISER Guillaume</t>
  </si>
  <si>
    <t>STAMM Jean</t>
  </si>
  <si>
    <t>OSWALD Raymond</t>
  </si>
  <si>
    <t>TOSI Charles</t>
  </si>
  <si>
    <t>SACRISTANI Albert</t>
  </si>
  <si>
    <t>DI LEO François</t>
  </si>
  <si>
    <t>VOYAT Philippe</t>
  </si>
  <si>
    <t>Categories</t>
  </si>
  <si>
    <t>Club organisateur:</t>
  </si>
  <si>
    <t>Date:</t>
  </si>
  <si>
    <t>Compétition:</t>
  </si>
  <si>
    <t>POULE 1</t>
  </si>
  <si>
    <t>POULE 2</t>
  </si>
  <si>
    <t>NOMS Prénoms J1</t>
  </si>
  <si>
    <t>NOMS Prénoms J2</t>
  </si>
  <si>
    <t>NOMS Prénoms J3</t>
  </si>
  <si>
    <t>LN3</t>
  </si>
  <si>
    <t>LR1</t>
  </si>
  <si>
    <t>LR2</t>
  </si>
  <si>
    <t>LR3</t>
  </si>
  <si>
    <t>LR4</t>
  </si>
  <si>
    <t>BN3</t>
  </si>
  <si>
    <t>BR1</t>
  </si>
  <si>
    <t>BR2</t>
  </si>
  <si>
    <t>3BN3</t>
  </si>
  <si>
    <t>3BR1</t>
  </si>
  <si>
    <t>CN3</t>
  </si>
  <si>
    <t>CR1</t>
  </si>
  <si>
    <t>3BR2</t>
  </si>
  <si>
    <t>ListeCompetition</t>
  </si>
  <si>
    <t>ListeClubs</t>
  </si>
  <si>
    <t>LibreN3</t>
  </si>
  <si>
    <t>LibreR1</t>
  </si>
  <si>
    <t>LibreR2</t>
  </si>
  <si>
    <t>LibreR3</t>
  </si>
  <si>
    <t>LibreR4</t>
  </si>
  <si>
    <t>BandeN3</t>
  </si>
  <si>
    <t>BandeR1</t>
  </si>
  <si>
    <t>BandeR2</t>
  </si>
  <si>
    <t>CadreN3</t>
  </si>
  <si>
    <t>CadreR1</t>
  </si>
  <si>
    <t>TroisBandesN3</t>
  </si>
  <si>
    <t>TroisBandesR1</t>
  </si>
  <si>
    <t>TroisBandesR2</t>
  </si>
  <si>
    <t>POULE 3</t>
  </si>
  <si>
    <t>Pts</t>
  </si>
  <si>
    <t>Rep</t>
  </si>
  <si>
    <t>Sér</t>
  </si>
  <si>
    <t>Moy</t>
  </si>
  <si>
    <t>Poule jumelés</t>
  </si>
  <si>
    <t>Poule</t>
  </si>
  <si>
    <t>1 et 2</t>
  </si>
  <si>
    <t>2 et 3</t>
  </si>
  <si>
    <t>Aucune</t>
  </si>
  <si>
    <t>Match 1</t>
  </si>
  <si>
    <t>80 pts/30 rep</t>
  </si>
  <si>
    <t>60 pts/30 rep</t>
  </si>
  <si>
    <t>40 pts/30 rep</t>
  </si>
  <si>
    <t>50 pts/30 rep</t>
  </si>
  <si>
    <t>30 pts/30 rep</t>
  </si>
  <si>
    <t>20 pts/50 rep</t>
  </si>
  <si>
    <t>15 pts/50 rep</t>
  </si>
  <si>
    <t>Match 2</t>
  </si>
  <si>
    <t>3 et 2</t>
  </si>
  <si>
    <t>2 et 2</t>
  </si>
  <si>
    <t>3 et 1</t>
  </si>
  <si>
    <t>POULE JUMELE</t>
  </si>
  <si>
    <t>ok</t>
  </si>
  <si>
    <t>Distance:</t>
  </si>
  <si>
    <t>Championnat individuel de MOSELLE</t>
  </si>
  <si>
    <t>Format billard:</t>
  </si>
  <si>
    <t>pts</t>
  </si>
  <si>
    <t>rep</t>
  </si>
  <si>
    <t>sér</t>
  </si>
  <si>
    <t>moy</t>
  </si>
  <si>
    <t>FormatBillard</t>
  </si>
  <si>
    <t>2m80</t>
  </si>
  <si>
    <t>3m10</t>
  </si>
  <si>
    <t>2m80 pc</t>
  </si>
  <si>
    <t>2m80 gc</t>
  </si>
  <si>
    <t>N° Licence</t>
  </si>
  <si>
    <t>Nom</t>
  </si>
  <si>
    <t>Moyenne</t>
  </si>
  <si>
    <t>6.750</t>
  </si>
  <si>
    <t>Audun-Villerupt</t>
  </si>
  <si>
    <t>6.630</t>
  </si>
  <si>
    <t>le Ban St. Martin</t>
  </si>
  <si>
    <t>5.960</t>
  </si>
  <si>
    <t>Hagondange</t>
  </si>
  <si>
    <t>5.550</t>
  </si>
  <si>
    <t>5.300</t>
  </si>
  <si>
    <t>5.050</t>
  </si>
  <si>
    <t>Metz</t>
  </si>
  <si>
    <t>5.020</t>
  </si>
  <si>
    <t>Sarreguemines</t>
  </si>
  <si>
    <t>4.900</t>
  </si>
  <si>
    <t>Florange</t>
  </si>
  <si>
    <t>4.510</t>
  </si>
  <si>
    <t>4.480</t>
  </si>
  <si>
    <t>4.230</t>
  </si>
  <si>
    <t>3.560</t>
  </si>
  <si>
    <t>3.390</t>
  </si>
  <si>
    <t>St Avold</t>
  </si>
  <si>
    <t>3.360</t>
  </si>
  <si>
    <t>3.140</t>
  </si>
  <si>
    <t>Gandrange</t>
  </si>
  <si>
    <t>3.090</t>
  </si>
  <si>
    <t>Algrange</t>
  </si>
  <si>
    <t>3.080</t>
  </si>
  <si>
    <t>2.910</t>
  </si>
  <si>
    <t>2.770</t>
  </si>
  <si>
    <t>2.430</t>
  </si>
  <si>
    <t>2.420</t>
  </si>
  <si>
    <t>2.410</t>
  </si>
  <si>
    <t>Magny</t>
  </si>
  <si>
    <t>2.220</t>
  </si>
  <si>
    <t>2.160</t>
  </si>
  <si>
    <t>1.090</t>
  </si>
  <si>
    <t>Thionville</t>
  </si>
  <si>
    <t>2.080</t>
  </si>
  <si>
    <t>1.900</t>
  </si>
  <si>
    <t>1.880</t>
  </si>
  <si>
    <t>1.840</t>
  </si>
  <si>
    <t>1.820</t>
  </si>
  <si>
    <t>1.700</t>
  </si>
  <si>
    <t>1.620</t>
  </si>
  <si>
    <t>1.460</t>
  </si>
  <si>
    <t>1.360</t>
  </si>
  <si>
    <t>1.310</t>
  </si>
  <si>
    <t>Knutange</t>
  </si>
  <si>
    <t>NC</t>
  </si>
  <si>
    <t>1.120</t>
  </si>
  <si>
    <t>1.010</t>
  </si>
  <si>
    <t>0.920</t>
  </si>
  <si>
    <t>0.860</t>
  </si>
  <si>
    <t>Moyeuvre</t>
  </si>
  <si>
    <t>0.790</t>
  </si>
  <si>
    <t>0.730</t>
  </si>
  <si>
    <t>0.670</t>
  </si>
  <si>
    <t>0.530</t>
  </si>
  <si>
    <t>1 bande</t>
  </si>
  <si>
    <t>2.150</t>
  </si>
  <si>
    <t>2.140</t>
  </si>
  <si>
    <t>2.100</t>
  </si>
  <si>
    <t>2.070</t>
  </si>
  <si>
    <t>1.770</t>
  </si>
  <si>
    <t>1.750</t>
  </si>
  <si>
    <t>1.610</t>
  </si>
  <si>
    <t>1.600</t>
  </si>
  <si>
    <t>1.560</t>
  </si>
  <si>
    <t>1.540</t>
  </si>
  <si>
    <t>1.530</t>
  </si>
  <si>
    <t>1.380</t>
  </si>
  <si>
    <t>1.210</t>
  </si>
  <si>
    <t>1.180</t>
  </si>
  <si>
    <t>1.140</t>
  </si>
  <si>
    <t>0.930</t>
  </si>
  <si>
    <t>0.910</t>
  </si>
  <si>
    <t>0.770</t>
  </si>
  <si>
    <t>0.580</t>
  </si>
  <si>
    <t>3 Bandes</t>
  </si>
  <si>
    <t>0.501</t>
  </si>
  <si>
    <t>0.492</t>
  </si>
  <si>
    <t>0.485</t>
  </si>
  <si>
    <t>0.448</t>
  </si>
  <si>
    <t>0.437</t>
  </si>
  <si>
    <t>0.390</t>
  </si>
  <si>
    <t>0.380</t>
  </si>
  <si>
    <t>0.367</t>
  </si>
  <si>
    <t>0.357</t>
  </si>
  <si>
    <t>0.329</t>
  </si>
  <si>
    <t>0.316</t>
  </si>
  <si>
    <t>0.288</t>
  </si>
  <si>
    <t>0.263</t>
  </si>
  <si>
    <t>0.227</t>
  </si>
  <si>
    <t>0.172</t>
  </si>
  <si>
    <t>0.236</t>
  </si>
  <si>
    <t>0.214</t>
  </si>
  <si>
    <t>0.205</t>
  </si>
  <si>
    <t>Cadre</t>
  </si>
  <si>
    <t>5.500</t>
  </si>
  <si>
    <t>5.430</t>
  </si>
  <si>
    <t>5.340</t>
  </si>
  <si>
    <t>4.390</t>
  </si>
  <si>
    <t>4.360</t>
  </si>
  <si>
    <t>3.960</t>
  </si>
  <si>
    <t>3.790</t>
  </si>
  <si>
    <t>3.530</t>
  </si>
  <si>
    <t>3.500</t>
  </si>
  <si>
    <t>3.490</t>
  </si>
  <si>
    <t>3.410</t>
  </si>
  <si>
    <t>3.130</t>
  </si>
  <si>
    <t>3.060</t>
  </si>
  <si>
    <t>2.930</t>
  </si>
  <si>
    <t>2.520</t>
  </si>
  <si>
    <t>2.240</t>
  </si>
  <si>
    <t>2.030</t>
  </si>
  <si>
    <t>2.010</t>
  </si>
  <si>
    <t>1.720</t>
  </si>
  <si>
    <t>1.410</t>
  </si>
  <si>
    <t>5 quilles</t>
  </si>
  <si>
    <t>STORNAIUOLO Francesco</t>
  </si>
  <si>
    <t>CORNEO François</t>
  </si>
  <si>
    <t>9 quilles</t>
  </si>
  <si>
    <t>BEDNAREK Jean-Michel</t>
  </si>
  <si>
    <t>42/2</t>
  </si>
  <si>
    <t>Classement après 1er MATCH</t>
  </si>
  <si>
    <t>ptsM</t>
  </si>
  <si>
    <t>poule</t>
  </si>
  <si>
    <t>Billard:</t>
  </si>
  <si>
    <t>Joueur 1</t>
  </si>
  <si>
    <t>Licence:</t>
  </si>
  <si>
    <t>Pts rep  ser:</t>
  </si>
  <si>
    <t>Joueur 2</t>
  </si>
  <si>
    <t>Pts match:</t>
  </si>
  <si>
    <t>NOM Prénom</t>
  </si>
  <si>
    <t>pts Match</t>
  </si>
  <si>
    <t xml:space="preserve">        Dans FFBsportif:</t>
  </si>
  <si>
    <t>Aide FFBsportif</t>
  </si>
  <si>
    <t>CALCUL CLASSEMENT FINAL</t>
  </si>
  <si>
    <t>de N à Y</t>
  </si>
  <si>
    <t xml:space="preserve">Inscrire tous les matchs dans la même poule </t>
  </si>
  <si>
    <t>G</t>
  </si>
  <si>
    <t>N</t>
  </si>
  <si>
    <t>P</t>
  </si>
  <si>
    <t>MATCH 1</t>
  </si>
  <si>
    <t>MATCH 2</t>
  </si>
  <si>
    <t>MATCH 3</t>
  </si>
  <si>
    <t xml:space="preserve">Forfait tour suivant </t>
  </si>
  <si>
    <t>Forfait général</t>
  </si>
  <si>
    <t>NON Participation au tour suivant</t>
  </si>
  <si>
    <t>Les cases resté vide valide l'engagement au prochain tour</t>
  </si>
  <si>
    <t>Forfait tour suivant</t>
  </si>
  <si>
    <t>T1</t>
  </si>
  <si>
    <t>T2</t>
  </si>
  <si>
    <t>T3</t>
  </si>
  <si>
    <t>Tour</t>
  </si>
  <si>
    <t>FORFAIT</t>
  </si>
  <si>
    <t xml:space="preserve">NOMS Prénoms </t>
  </si>
  <si>
    <t>ListeJoueursPrevu</t>
  </si>
  <si>
    <t>NOMS Prénoms</t>
  </si>
  <si>
    <t>RANG</t>
  </si>
  <si>
    <t>rang</t>
  </si>
  <si>
    <t>0 forfait</t>
  </si>
  <si>
    <t>prévu</t>
  </si>
  <si>
    <t>reste</t>
  </si>
  <si>
    <t>forfait</t>
  </si>
  <si>
    <t>Poule 1</t>
  </si>
  <si>
    <t>Poule 2</t>
  </si>
  <si>
    <t>Poule 3</t>
  </si>
  <si>
    <t xml:space="preserve">ATTENTION: Les poules ne sont pas obligatoirement dans l'ordre si il y a des poules jumelées. </t>
  </si>
  <si>
    <t>Cocher la ou les cases des joueurs forfait</t>
  </si>
  <si>
    <t>RESULTATS FINALS</t>
  </si>
  <si>
    <t>à:</t>
  </si>
  <si>
    <t>le:</t>
  </si>
  <si>
    <t>Joueurs convoqués et   RANG</t>
  </si>
  <si>
    <t>Poules définitives</t>
  </si>
  <si>
    <t>Directeur de jeux:</t>
  </si>
  <si>
    <t>Philippe LECLERC</t>
  </si>
  <si>
    <t>philou57.lp@gmail.com</t>
  </si>
  <si>
    <t>Responsable CD57:</t>
  </si>
  <si>
    <t>mail:</t>
  </si>
  <si>
    <t>150 pts/20 rep</t>
  </si>
  <si>
    <t>120 pts/25 rep</t>
  </si>
  <si>
    <t>70 pts/25 rep</t>
  </si>
  <si>
    <t>pdalcortivo@gmail.com</t>
  </si>
  <si>
    <t>Paul DAL CORTIVO</t>
  </si>
  <si>
    <t>CHRISTMANN Gaston</t>
  </si>
  <si>
    <t>MEDDAHI Mohamed</t>
  </si>
  <si>
    <t>IPPOLITO Serge</t>
  </si>
  <si>
    <t>RECCHIA Bruno</t>
  </si>
  <si>
    <t>PIERSON Marc</t>
  </si>
  <si>
    <t>STAUB Roland</t>
  </si>
  <si>
    <t>VADALA Gino</t>
  </si>
  <si>
    <t>COLOMBO Alain</t>
  </si>
  <si>
    <t>SCALISI Alfio</t>
  </si>
  <si>
    <t>GOMEZ Jose</t>
  </si>
  <si>
    <t>DENIS Serge</t>
  </si>
  <si>
    <t>CHUIMER Francis</t>
  </si>
  <si>
    <t>LADA Alfred</t>
  </si>
  <si>
    <t>MENEGUZZI Raimond</t>
  </si>
  <si>
    <t>N3</t>
  </si>
  <si>
    <t>Club</t>
  </si>
  <si>
    <t>Petite Rosselle</t>
  </si>
  <si>
    <t>R1</t>
  </si>
  <si>
    <t>R2</t>
  </si>
  <si>
    <t>R3</t>
  </si>
  <si>
    <t>R4</t>
  </si>
  <si>
    <t>N1</t>
  </si>
  <si>
    <t>PILOTTO Leo</t>
  </si>
  <si>
    <t>REIS Fernand</t>
  </si>
  <si>
    <t>Coupe de Moselle</t>
  </si>
  <si>
    <t>MAINE Daniel</t>
  </si>
  <si>
    <t>WEBER Laurent</t>
  </si>
  <si>
    <t>DAUPHIN Michel</t>
  </si>
  <si>
    <t xml:space="preserve">Libre </t>
  </si>
  <si>
    <t>Bandes</t>
  </si>
  <si>
    <t>INFANTINO Bénédetto</t>
  </si>
  <si>
    <t>Sans forfait</t>
  </si>
  <si>
    <t>Rapport de la competition</t>
  </si>
  <si>
    <t>date</t>
  </si>
  <si>
    <t>mode de jeu</t>
  </si>
  <si>
    <t>Lieu</t>
  </si>
  <si>
    <t>Inscrire les faits le plus détaillés possible</t>
  </si>
  <si>
    <t>FAIT</t>
  </si>
  <si>
    <t>PONCET Francis</t>
  </si>
  <si>
    <t xml:space="preserve">Liste joueurs </t>
  </si>
  <si>
    <t>Rang</t>
  </si>
  <si>
    <t>OSWALD Christian</t>
  </si>
  <si>
    <t>RODRIGUEZ José</t>
  </si>
  <si>
    <t>HERMAL Mathieu</t>
  </si>
  <si>
    <t>BORNEQUE Fabrice</t>
  </si>
  <si>
    <t>VEUGELEN André</t>
  </si>
  <si>
    <t>VASCONCELOS Emmanuel</t>
  </si>
  <si>
    <t>CRIVELOTTO Julien</t>
  </si>
  <si>
    <t>LEICHTNAM Hugues</t>
  </si>
  <si>
    <t>HEROLD Daniel</t>
  </si>
  <si>
    <t>MALHERBE Georges</t>
  </si>
  <si>
    <t>SALET William</t>
  </si>
  <si>
    <t>HOEFFEL Pierre</t>
  </si>
  <si>
    <t>SCHERSCHEL Nicolas</t>
  </si>
  <si>
    <t>2022-2023</t>
  </si>
  <si>
    <t>DEFLORAINE Daphné</t>
  </si>
  <si>
    <t>SPRUNCK Laurent</t>
  </si>
  <si>
    <t>110 pts/20 rep</t>
  </si>
  <si>
    <t>136060 C</t>
  </si>
  <si>
    <t>120956 E</t>
  </si>
  <si>
    <t>119610 K</t>
  </si>
  <si>
    <t>015290 C</t>
  </si>
  <si>
    <t>014811 R</t>
  </si>
  <si>
    <t>107471 N</t>
  </si>
  <si>
    <t>SCHWARTZ Julien</t>
  </si>
  <si>
    <t>015096 Q</t>
  </si>
  <si>
    <t>123009 D</t>
  </si>
  <si>
    <t>014895 X</t>
  </si>
  <si>
    <t>107147 B</t>
  </si>
  <si>
    <t>156198 F</t>
  </si>
  <si>
    <t>014742 A</t>
  </si>
  <si>
    <t>015086 G</t>
  </si>
  <si>
    <t>102806 C</t>
  </si>
  <si>
    <t>015019 R</t>
  </si>
  <si>
    <t>120525 P</t>
  </si>
  <si>
    <t>014789 V</t>
  </si>
  <si>
    <t>2025/2026</t>
  </si>
  <si>
    <t>128802 Y</t>
  </si>
  <si>
    <t>140767 D</t>
  </si>
  <si>
    <t>147482 G</t>
  </si>
  <si>
    <t>162922 P</t>
  </si>
  <si>
    <t>015089 J</t>
  </si>
  <si>
    <t>152535 Z</t>
  </si>
  <si>
    <t>NEU Raymond</t>
  </si>
  <si>
    <t>119612 M</t>
  </si>
  <si>
    <t>131686 W</t>
  </si>
  <si>
    <t>015518 W</t>
  </si>
  <si>
    <t>015023 V</t>
  </si>
  <si>
    <t>015407 P</t>
  </si>
  <si>
    <t>177006 Y</t>
  </si>
  <si>
    <t>168592 C</t>
  </si>
  <si>
    <t>014807 N</t>
  </si>
  <si>
    <t>015205 V</t>
  </si>
  <si>
    <t>159107 S</t>
  </si>
  <si>
    <t>CAQUET Michel</t>
  </si>
  <si>
    <t>Courcelles/Nied</t>
  </si>
  <si>
    <t>190471 J</t>
  </si>
  <si>
    <t>EYNIUS Pascal</t>
  </si>
  <si>
    <t>186767 H</t>
  </si>
  <si>
    <t>RAULET Jérôme</t>
  </si>
  <si>
    <t>015119 N</t>
  </si>
  <si>
    <t>123023 R</t>
  </si>
  <si>
    <t>MARTIN Benoit</t>
  </si>
  <si>
    <t>177008 A</t>
  </si>
  <si>
    <t>012715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</si>
</sst>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d\-mmm\-yy;@"/>
  </numFmts>
  <fonts count="3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u/>
      <sz val="2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4" borderId="1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0" fillId="4" borderId="3" xfId="0" applyFill="1" applyBorder="1"/>
    <xf numFmtId="0" fontId="0" fillId="4" borderId="9" xfId="0" applyFill="1" applyBorder="1"/>
    <xf numFmtId="0" fontId="0" fillId="4" borderId="0" xfId="0" applyFill="1"/>
    <xf numFmtId="164" fontId="0" fillId="4" borderId="0" xfId="0" applyNumberFormat="1" applyFill="1"/>
    <xf numFmtId="0" fontId="0" fillId="4" borderId="5" xfId="0" applyFill="1" applyBorder="1"/>
    <xf numFmtId="0" fontId="0" fillId="4" borderId="10" xfId="0" applyFill="1" applyBorder="1"/>
    <xf numFmtId="0" fontId="0" fillId="4" borderId="7" xfId="0" applyFill="1" applyBorder="1"/>
    <xf numFmtId="164" fontId="0" fillId="4" borderId="7" xfId="0" applyNumberFormat="1" applyFill="1" applyBorder="1"/>
    <xf numFmtId="0" fontId="0" fillId="4" borderId="8" xfId="0" applyFill="1" applyBorder="1"/>
    <xf numFmtId="0" fontId="0" fillId="5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5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0" borderId="17" xfId="0" applyBorder="1"/>
    <xf numFmtId="0" fontId="0" fillId="0" borderId="23" xfId="0" applyBorder="1"/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/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0" xfId="0" applyFont="1"/>
    <xf numFmtId="0" fontId="0" fillId="5" borderId="16" xfId="0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0" xfId="0" applyFont="1"/>
    <xf numFmtId="0" fontId="4" fillId="0" borderId="0" xfId="0" applyFont="1"/>
    <xf numFmtId="0" fontId="12" fillId="0" borderId="0" xfId="0" applyFont="1"/>
    <xf numFmtId="0" fontId="10" fillId="0" borderId="1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6" borderId="0" xfId="0" applyFill="1"/>
    <xf numFmtId="0" fontId="11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0" fontId="0" fillId="0" borderId="21" xfId="0" applyBorder="1"/>
    <xf numFmtId="2" fontId="0" fillId="0" borderId="0" xfId="0" applyNumberFormat="1" applyAlignment="1">
      <alignment horizontal="center" vertical="center"/>
    </xf>
    <xf numFmtId="2" fontId="19" fillId="0" borderId="2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4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9" fillId="0" borderId="39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4" fillId="7" borderId="21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left" vertical="center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14" fontId="5" fillId="9" borderId="11" xfId="0" applyNumberFormat="1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0" borderId="5" xfId="1" applyBorder="1" applyAlignment="1">
      <alignment horizontal="center"/>
    </xf>
    <xf numFmtId="0" fontId="29" fillId="0" borderId="3" xfId="1" applyFill="1" applyBorder="1" applyAlignment="1">
      <alignment horizontal="center"/>
    </xf>
    <xf numFmtId="0" fontId="29" fillId="0" borderId="5" xfId="1" applyFill="1" applyBorder="1" applyAlignment="1">
      <alignment horizontal="center"/>
    </xf>
    <xf numFmtId="0" fontId="0" fillId="2" borderId="38" xfId="0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16" fontId="0" fillId="10" borderId="1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8" fillId="0" borderId="0" xfId="0" applyFont="1"/>
    <xf numFmtId="165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12" borderId="2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13" borderId="21" xfId="0" applyFill="1" applyBorder="1" applyAlignment="1" applyProtection="1">
      <alignment horizontal="center"/>
      <protection locked="0"/>
    </xf>
    <xf numFmtId="0" fontId="0" fillId="14" borderId="21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12" borderId="21" xfId="0" applyNumberFormat="1" applyFill="1" applyBorder="1" applyAlignment="1" applyProtection="1">
      <alignment horizontal="center"/>
      <protection locked="0"/>
    </xf>
    <xf numFmtId="164" fontId="0" fillId="13" borderId="21" xfId="0" applyNumberFormat="1" applyFill="1" applyBorder="1" applyAlignment="1" applyProtection="1">
      <alignment horizontal="center"/>
      <protection locked="0"/>
    </xf>
    <xf numFmtId="0" fontId="0" fillId="14" borderId="21" xfId="0" applyFill="1" applyBorder="1" applyProtection="1">
      <protection locked="0"/>
    </xf>
    <xf numFmtId="0" fontId="0" fillId="12" borderId="21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4" borderId="21" xfId="0" applyFill="1" applyBorder="1" applyAlignment="1">
      <alignment horizontal="center" vertical="center"/>
    </xf>
    <xf numFmtId="0" fontId="0" fillId="14" borderId="21" xfId="0" applyFill="1" applyBorder="1"/>
    <xf numFmtId="0" fontId="0" fillId="11" borderId="21" xfId="0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4" fontId="0" fillId="0" borderId="2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1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14" fontId="0" fillId="5" borderId="19" xfId="0" applyNumberFormat="1" applyFill="1" applyBorder="1" applyAlignment="1">
      <alignment horizontal="center" vertic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31" fillId="0" borderId="3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20"/>
</file>

<file path=xl/ctrlProps/ctrlProp2.xml><?xml version="1.0" encoding="utf-8"?>
<formControlPr xmlns="http://schemas.microsoft.com/office/spreadsheetml/2009/9/main" objectType="CheckBox" fmlaLink="$N$21" lockText="1"/>
</file>

<file path=xl/ctrlProps/ctrlProp3.xml><?xml version="1.0" encoding="utf-8"?>
<formControlPr xmlns="http://schemas.microsoft.com/office/spreadsheetml/2009/9/main" objectType="CheckBox" fmlaLink="$N$22" lockText="1"/>
</file>

<file path=xl/ctrlProps/ctrlProp4.xml><?xml version="1.0" encoding="utf-8"?>
<formControlPr xmlns="http://schemas.microsoft.com/office/spreadsheetml/2009/9/main" objectType="CheckBox" fmlaLink="$N$25" lockText="1"/>
</file>

<file path=xl/ctrlProps/ctrlProp5.xml><?xml version="1.0" encoding="utf-8"?>
<formControlPr xmlns="http://schemas.microsoft.com/office/spreadsheetml/2009/9/main" objectType="CheckBox" fmlaLink="$N$26" lockText="1"/>
</file>

<file path=xl/ctrlProps/ctrlProp6.xml><?xml version="1.0" encoding="utf-8"?>
<formControlPr xmlns="http://schemas.microsoft.com/office/spreadsheetml/2009/9/main" objectType="CheckBox" fmlaLink="$N$27" lockText="1"/>
</file>

<file path=xl/ctrlProps/ctrlProp7.xml><?xml version="1.0" encoding="utf-8"?>
<formControlPr xmlns="http://schemas.microsoft.com/office/spreadsheetml/2009/9/main" objectType="CheckBox" fmlaLink="$N$30" lockText="1"/>
</file>

<file path=xl/ctrlProps/ctrlProp8.xml><?xml version="1.0" encoding="utf-8"?>
<formControlPr xmlns="http://schemas.microsoft.com/office/spreadsheetml/2009/9/main" objectType="CheckBox" fmlaLink="$N$31" lockText="1"/>
</file>

<file path=xl/ctrlProps/ctrlProp9.xml><?xml version="1.0" encoding="utf-8"?>
<formControlPr xmlns="http://schemas.microsoft.com/office/spreadsheetml/2009/9/main" objectType="CheckBox" fmlaLink="$N$32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</xdr:row>
      <xdr:rowOff>104774</xdr:rowOff>
    </xdr:from>
    <xdr:to>
      <xdr:col>1</xdr:col>
      <xdr:colOff>866776</xdr:colOff>
      <xdr:row>5</xdr:row>
      <xdr:rowOff>66282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504824"/>
          <a:ext cx="704850" cy="675883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123825</xdr:colOff>
      <xdr:row>2</xdr:row>
      <xdr:rowOff>171450</xdr:rowOff>
    </xdr:from>
    <xdr:to>
      <xdr:col>10</xdr:col>
      <xdr:colOff>1047750</xdr:colOff>
      <xdr:row>5</xdr:row>
      <xdr:rowOff>152400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6</xdr:col>
          <xdr:colOff>438150</xdr:colOff>
          <xdr:row>19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9525</xdr:rowOff>
        </xdr:from>
        <xdr:to>
          <xdr:col>6</xdr:col>
          <xdr:colOff>438150</xdr:colOff>
          <xdr:row>20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9525</xdr:rowOff>
        </xdr:from>
        <xdr:to>
          <xdr:col>6</xdr:col>
          <xdr:colOff>438150</xdr:colOff>
          <xdr:row>21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9525</xdr:rowOff>
        </xdr:from>
        <xdr:to>
          <xdr:col>6</xdr:col>
          <xdr:colOff>428625</xdr:colOff>
          <xdr:row>25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9525</xdr:rowOff>
        </xdr:from>
        <xdr:to>
          <xdr:col>6</xdr:col>
          <xdr:colOff>428625</xdr:colOff>
          <xdr:row>25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9525</xdr:rowOff>
        </xdr:from>
        <xdr:to>
          <xdr:col>6</xdr:col>
          <xdr:colOff>428625</xdr:colOff>
          <xdr:row>26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29</xdr:row>
          <xdr:rowOff>9525</xdr:rowOff>
        </xdr:from>
        <xdr:to>
          <xdr:col>6</xdr:col>
          <xdr:colOff>438150</xdr:colOff>
          <xdr:row>29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9525</xdr:rowOff>
        </xdr:from>
        <xdr:to>
          <xdr:col>6</xdr:col>
          <xdr:colOff>438150</xdr:colOff>
          <xdr:row>30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9525</xdr:rowOff>
        </xdr:from>
        <xdr:to>
          <xdr:col>6</xdr:col>
          <xdr:colOff>438150</xdr:colOff>
          <xdr:row>31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609599</xdr:colOff>
      <xdr:row>2</xdr:row>
      <xdr:rowOff>85725</xdr:rowOff>
    </xdr:from>
    <xdr:to>
      <xdr:col>2</xdr:col>
      <xdr:colOff>1495424</xdr:colOff>
      <xdr:row>4</xdr:row>
      <xdr:rowOff>363646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542925"/>
          <a:ext cx="885825" cy="849421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</xdr:row>
      <xdr:rowOff>161925</xdr:rowOff>
    </xdr:from>
    <xdr:to>
      <xdr:col>12</xdr:col>
      <xdr:colOff>257175</xdr:colOff>
      <xdr:row>4</xdr:row>
      <xdr:rowOff>285750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191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pdalcortivo@gmail.com" TargetMode="External"/><Relationship Id="rId13" Type="http://schemas.openxmlformats.org/officeDocument/2006/relationships/hyperlink" Target="mailto:pdalcortivo@gmail.com" TargetMode="External"/><Relationship Id="rId3" Type="http://schemas.openxmlformats.org/officeDocument/2006/relationships/hyperlink" Target="mailto:philou57.lp@gmail.com" TargetMode="External"/><Relationship Id="rId7" Type="http://schemas.openxmlformats.org/officeDocument/2006/relationships/hyperlink" Target="mailto:pdalcortivo@gmail.com" TargetMode="External"/><Relationship Id="rId12" Type="http://schemas.openxmlformats.org/officeDocument/2006/relationships/hyperlink" Target="mailto:pdalcortivo@gmail.com" TargetMode="External"/><Relationship Id="rId2" Type="http://schemas.openxmlformats.org/officeDocument/2006/relationships/hyperlink" Target="mailto:philou57.lp@gmail.com" TargetMode="External"/><Relationship Id="rId1" Type="http://schemas.openxmlformats.org/officeDocument/2006/relationships/hyperlink" Target="mailto:philou57.lp@gmail.com" TargetMode="External"/><Relationship Id="rId6" Type="http://schemas.openxmlformats.org/officeDocument/2006/relationships/hyperlink" Target="mailto:pdalcortivo@gmail.com" TargetMode="External"/><Relationship Id="rId11" Type="http://schemas.openxmlformats.org/officeDocument/2006/relationships/hyperlink" Target="mailto:pdalcortivo@gmail.com" TargetMode="External"/><Relationship Id="rId5" Type="http://schemas.openxmlformats.org/officeDocument/2006/relationships/hyperlink" Target="mailto:philou57.lp@gmail.com" TargetMode="External"/><Relationship Id="rId10" Type="http://schemas.openxmlformats.org/officeDocument/2006/relationships/hyperlink" Target="mailto:philou57.lp@gmail.com" TargetMode="External"/><Relationship Id="rId4" Type="http://schemas.openxmlformats.org/officeDocument/2006/relationships/hyperlink" Target="mailto:philou57.lp@gmail.com" TargetMode="External"/><Relationship Id="rId9" Type="http://schemas.openxmlformats.org/officeDocument/2006/relationships/hyperlink" Target="mailto:philou57.lp@gmail.com" TargetMode="External"/><Relationship Id="rId1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B1:BN41"/>
  <sheetViews>
    <sheetView showGridLines="0" zoomScaleNormal="100" workbookViewId="0">
      <selection activeCell="K10" sqref="K10"/>
    </sheetView>
  </sheetViews>
  <sheetFormatPr baseColWidth="10" defaultRowHeight="18.75" customHeight="1" x14ac:dyDescent="0.25"/>
  <cols>
    <col min="1" max="1" width="0.42578125" style="3" customWidth="1"/>
    <col min="2" max="2" width="13.5703125" style="3" customWidth="1"/>
    <col min="3" max="3" width="5.42578125" style="3" customWidth="1"/>
    <col min="4" max="4" width="4.140625" style="3" customWidth="1"/>
    <col min="5" max="5" width="23.140625" style="3" customWidth="1"/>
    <col min="6" max="6" width="3.7109375" style="3" customWidth="1"/>
    <col min="7" max="7" width="6.7109375" style="3" customWidth="1"/>
    <col min="8" max="8" width="2.42578125" style="3" customWidth="1"/>
    <col min="9" max="10" width="2.28515625" style="3" customWidth="1"/>
    <col min="11" max="11" width="21.85546875" style="3" customWidth="1"/>
    <col min="12" max="12" width="1" style="3" customWidth="1"/>
    <col min="13" max="13" width="5.140625" style="3" hidden="1" customWidth="1"/>
    <col min="14" max="14" width="5.7109375" style="3" hidden="1" customWidth="1"/>
    <col min="15" max="15" width="18.42578125" style="3" hidden="1" customWidth="1"/>
    <col min="16" max="16" width="2" style="3" hidden="1" customWidth="1"/>
    <col min="17" max="17" width="4.85546875" style="3" hidden="1" customWidth="1"/>
    <col min="18" max="18" width="8.42578125" style="1" hidden="1" customWidth="1"/>
    <col min="19" max="20" width="2" style="1" hidden="1" customWidth="1"/>
    <col min="21" max="21" width="18.42578125" style="1" hidden="1" customWidth="1"/>
    <col min="22" max="27" width="2" style="1" hidden="1" customWidth="1"/>
    <col min="28" max="28" width="18.42578125" style="1" hidden="1" customWidth="1"/>
    <col min="29" max="29" width="4.5703125" style="1" hidden="1" customWidth="1"/>
    <col min="30" max="30" width="18.42578125" style="1" hidden="1" customWidth="1"/>
    <col min="31" max="31" width="2" style="1" hidden="1" customWidth="1"/>
    <col min="32" max="32" width="18.42578125" style="3" hidden="1" customWidth="1"/>
    <col min="33" max="33" width="2" style="3" hidden="1" customWidth="1"/>
    <col min="34" max="34" width="18.42578125" style="3" hidden="1" customWidth="1"/>
    <col min="35" max="35" width="2" style="3" hidden="1" customWidth="1"/>
    <col min="36" max="37" width="18.42578125" style="3" hidden="1" customWidth="1"/>
    <col min="38" max="38" width="2" style="3" hidden="1" customWidth="1"/>
    <col min="39" max="52" width="5.140625" style="3" hidden="1" customWidth="1"/>
    <col min="53" max="53" width="10.140625" style="3" hidden="1" customWidth="1"/>
    <col min="54" max="54" width="21.28515625" style="3" hidden="1" customWidth="1"/>
    <col min="55" max="55" width="9.42578125" style="3" hidden="1" customWidth="1"/>
    <col min="56" max="56" width="15.42578125" style="3" hidden="1" customWidth="1"/>
    <col min="57" max="59" width="5.140625" style="3" hidden="1" customWidth="1"/>
    <col min="60" max="60" width="5" style="175" hidden="1" customWidth="1"/>
    <col min="61" max="66" width="5.140625" style="3" hidden="1" customWidth="1"/>
    <col min="67" max="70" width="5.140625" style="3" customWidth="1"/>
    <col min="71" max="71" width="14.7109375" style="3" customWidth="1"/>
    <col min="72" max="72" width="16.5703125" style="3" customWidth="1"/>
    <col min="73" max="116" width="11.5703125" style="3" customWidth="1"/>
    <col min="117" max="16384" width="11.42578125" style="3"/>
  </cols>
  <sheetData>
    <row r="1" spans="2:62" ht="4.5" customHeight="1" thickBot="1" x14ac:dyDescent="0.3"/>
    <row r="2" spans="2:62" ht="34.5" customHeight="1" thickBot="1" x14ac:dyDescent="0.3">
      <c r="B2" s="280" t="s">
        <v>137</v>
      </c>
      <c r="C2" s="281"/>
      <c r="D2" s="281"/>
      <c r="E2" s="281"/>
      <c r="F2" s="281"/>
      <c r="G2" s="281"/>
      <c r="H2" s="281"/>
      <c r="I2" s="281"/>
      <c r="J2" s="281"/>
      <c r="K2" s="282"/>
      <c r="BA2" s="284" t="s">
        <v>374</v>
      </c>
      <c r="BB2" s="284"/>
      <c r="BC2" s="284"/>
      <c r="BD2" s="284"/>
      <c r="BE2" s="284"/>
      <c r="BF2" s="284"/>
      <c r="BG2" s="284"/>
      <c r="BH2" s="284"/>
      <c r="BI2" s="284"/>
      <c r="BJ2" s="284"/>
    </row>
    <row r="3" spans="2:62" ht="18.75" customHeight="1" x14ac:dyDescent="0.25">
      <c r="BA3" s="3" t="s">
        <v>349</v>
      </c>
      <c r="BE3" s="270" t="s">
        <v>301</v>
      </c>
      <c r="BF3" s="270" t="s">
        <v>302</v>
      </c>
      <c r="BG3" s="270" t="s">
        <v>303</v>
      </c>
    </row>
    <row r="4" spans="2:62" ht="18.75" customHeight="1" x14ac:dyDescent="0.25">
      <c r="E4" s="285" t="s">
        <v>411</v>
      </c>
      <c r="F4" s="123"/>
      <c r="BA4" s="3" t="s">
        <v>148</v>
      </c>
      <c r="BB4" s="3" t="s">
        <v>149</v>
      </c>
      <c r="BC4" s="3" t="s">
        <v>150</v>
      </c>
      <c r="BD4" s="3" t="s">
        <v>350</v>
      </c>
      <c r="BE4" s="271" t="s">
        <v>375</v>
      </c>
      <c r="BF4" s="271" t="s">
        <v>375</v>
      </c>
      <c r="BG4" s="271" t="s">
        <v>375</v>
      </c>
    </row>
    <row r="5" spans="2:62" ht="18.75" customHeight="1" x14ac:dyDescent="0.25">
      <c r="E5" s="285"/>
      <c r="BA5" s="3">
        <v>136060</v>
      </c>
      <c r="BB5" s="3" t="s">
        <v>52</v>
      </c>
      <c r="BC5" s="3">
        <v>6.23</v>
      </c>
      <c r="BD5" s="3" t="s">
        <v>156</v>
      </c>
      <c r="BE5" s="271">
        <f>RANK(BC5,$BC$5:$BC$17,0)</f>
        <v>1</v>
      </c>
      <c r="BF5" s="271"/>
      <c r="BG5" s="271"/>
      <c r="BH5" s="175" t="str">
        <f t="shared" ref="BH5:BH17" si="0">BB5</f>
        <v>PANCALDI Walter</v>
      </c>
    </row>
    <row r="6" spans="2:62" ht="18.75" customHeight="1" thickBot="1" x14ac:dyDescent="0.3">
      <c r="G6" s="125"/>
      <c r="H6" s="152" t="s">
        <v>301</v>
      </c>
      <c r="BA6" s="3">
        <v>143367</v>
      </c>
      <c r="BB6" s="3" t="s">
        <v>338</v>
      </c>
      <c r="BC6" s="3">
        <v>6.15</v>
      </c>
      <c r="BD6" s="3" t="s">
        <v>156</v>
      </c>
      <c r="BE6" s="271">
        <f t="shared" ref="BE6:BE17" si="1">RANK(BC6,$BC$5:$BC$17,0)</f>
        <v>2</v>
      </c>
      <c r="BF6" s="271"/>
      <c r="BG6" s="271"/>
      <c r="BH6" s="175" t="str">
        <f t="shared" si="0"/>
        <v>RECCHIA Bruno</v>
      </c>
    </row>
    <row r="7" spans="2:62" ht="18.75" customHeight="1" thickBot="1" x14ac:dyDescent="0.3">
      <c r="B7" s="175" t="s">
        <v>76</v>
      </c>
      <c r="E7" s="184"/>
      <c r="F7" s="46"/>
      <c r="G7" s="1" t="s">
        <v>304</v>
      </c>
      <c r="H7" s="152" t="s">
        <v>302</v>
      </c>
      <c r="BA7" s="3">
        <v>12715</v>
      </c>
      <c r="BB7" s="3" t="s">
        <v>37</v>
      </c>
      <c r="BC7" s="3">
        <v>5.83</v>
      </c>
      <c r="BD7" s="3" t="s">
        <v>156</v>
      </c>
      <c r="BE7" s="271">
        <f t="shared" si="1"/>
        <v>3</v>
      </c>
      <c r="BF7" s="271"/>
      <c r="BG7" s="271"/>
      <c r="BH7" s="175" t="str">
        <f t="shared" si="0"/>
        <v>CAMPOLI Jean louis</v>
      </c>
    </row>
    <row r="8" spans="2:62" ht="18.75" customHeight="1" thickBot="1" x14ac:dyDescent="0.3">
      <c r="G8" s="185"/>
      <c r="H8" s="152" t="s">
        <v>303</v>
      </c>
      <c r="T8" s="1">
        <f>C33</f>
        <v>0</v>
      </c>
      <c r="U8" s="1" t="s">
        <v>312</v>
      </c>
      <c r="V8" s="1">
        <v>9</v>
      </c>
      <c r="W8" s="1">
        <v>9</v>
      </c>
      <c r="X8" s="1">
        <v>9</v>
      </c>
      <c r="Y8" s="1">
        <v>8</v>
      </c>
      <c r="Z8" s="1">
        <v>8</v>
      </c>
      <c r="AA8" s="1">
        <v>8</v>
      </c>
      <c r="BA8" s="3">
        <v>107147</v>
      </c>
      <c r="BB8" s="3" t="s">
        <v>21</v>
      </c>
      <c r="BC8" s="3">
        <v>4.66</v>
      </c>
      <c r="BD8" s="3" t="s">
        <v>164</v>
      </c>
      <c r="BE8" s="271">
        <f t="shared" si="1"/>
        <v>4</v>
      </c>
      <c r="BF8" s="271"/>
      <c r="BG8" s="271"/>
      <c r="BH8" s="175" t="str">
        <f t="shared" si="0"/>
        <v>GOUVERNEL Pierre</v>
      </c>
    </row>
    <row r="9" spans="2:62" ht="18.75" customHeight="1" x14ac:dyDescent="0.25">
      <c r="B9" s="3" t="s">
        <v>77</v>
      </c>
      <c r="E9" s="186"/>
      <c r="G9"/>
      <c r="T9" s="1">
        <f>T19</f>
        <v>0</v>
      </c>
      <c r="U9" s="1" t="s">
        <v>313</v>
      </c>
      <c r="V9" s="1">
        <v>8</v>
      </c>
      <c r="W9" s="1">
        <v>8</v>
      </c>
      <c r="X9" s="1">
        <v>8</v>
      </c>
      <c r="Y9" s="1">
        <v>7</v>
      </c>
      <c r="Z9" s="1">
        <v>7</v>
      </c>
      <c r="AA9" s="1">
        <v>7</v>
      </c>
      <c r="BA9" s="3">
        <v>119610</v>
      </c>
      <c r="BB9" s="3" t="s">
        <v>36</v>
      </c>
      <c r="BC9" s="3">
        <v>4.4800000000000004</v>
      </c>
      <c r="BD9" s="3" t="s">
        <v>164</v>
      </c>
      <c r="BE9" s="271">
        <f t="shared" si="1"/>
        <v>5</v>
      </c>
      <c r="BF9" s="271"/>
      <c r="BG9" s="271"/>
      <c r="BH9" s="175" t="str">
        <f t="shared" si="0"/>
        <v>LECLERC Philippe</v>
      </c>
    </row>
    <row r="10" spans="2:62" ht="18.75" customHeight="1" x14ac:dyDescent="0.25">
      <c r="B10" s="3" t="s">
        <v>78</v>
      </c>
      <c r="E10" s="187"/>
      <c r="K10" s="26"/>
      <c r="M10" s="235"/>
      <c r="N10" s="235"/>
      <c r="T10" s="1">
        <f>G40</f>
        <v>0</v>
      </c>
      <c r="U10" s="1" t="s">
        <v>314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BA10" s="3">
        <v>15119</v>
      </c>
      <c r="BB10" s="3" t="s">
        <v>373</v>
      </c>
      <c r="BC10" s="3">
        <v>4.3899999999999997</v>
      </c>
      <c r="BD10" s="3" t="s">
        <v>154</v>
      </c>
      <c r="BE10" s="271">
        <f t="shared" si="1"/>
        <v>6</v>
      </c>
      <c r="BF10" s="271"/>
      <c r="BG10" s="271"/>
      <c r="BH10" s="175" t="str">
        <f t="shared" si="0"/>
        <v>PONCET Francis</v>
      </c>
    </row>
    <row r="11" spans="2:62" ht="18.75" customHeight="1" thickBot="1" x14ac:dyDescent="0.3">
      <c r="B11" s="3" t="s">
        <v>136</v>
      </c>
      <c r="E11" s="179" t="str">
        <f>IF(E10="","",VLOOKUP(E10,TabDistance,2,0))</f>
        <v/>
      </c>
      <c r="F11" s="124"/>
      <c r="BA11" s="3">
        <v>14895</v>
      </c>
      <c r="BB11" s="3" t="s">
        <v>23</v>
      </c>
      <c r="BC11" s="3">
        <v>4.28</v>
      </c>
      <c r="BD11" s="3" t="s">
        <v>152</v>
      </c>
      <c r="BE11" s="271">
        <f t="shared" si="1"/>
        <v>7</v>
      </c>
      <c r="BF11" s="271"/>
      <c r="BG11" s="271"/>
      <c r="BH11" s="175" t="str">
        <f t="shared" si="0"/>
        <v>BELLINI Jacques</v>
      </c>
    </row>
    <row r="12" spans="2:62" ht="18.75" customHeight="1" thickBot="1" x14ac:dyDescent="0.3">
      <c r="F12" s="46"/>
      <c r="G12" s="3" t="s">
        <v>329</v>
      </c>
      <c r="T12" s="1">
        <f>COUNT(T20:T22)</f>
        <v>0</v>
      </c>
      <c r="U12" s="1" t="s">
        <v>315</v>
      </c>
      <c r="V12" s="1">
        <v>3</v>
      </c>
      <c r="W12" s="1">
        <v>3</v>
      </c>
      <c r="X12" s="1">
        <v>2</v>
      </c>
      <c r="Y12" s="1">
        <v>3</v>
      </c>
      <c r="Z12" s="1">
        <v>3</v>
      </c>
      <c r="AA12" s="1">
        <v>2</v>
      </c>
      <c r="BA12" s="3">
        <v>123009</v>
      </c>
      <c r="BB12" s="3" t="s">
        <v>34</v>
      </c>
      <c r="BC12" s="3">
        <v>4.03</v>
      </c>
      <c r="BD12" s="3" t="s">
        <v>160</v>
      </c>
      <c r="BE12" s="271">
        <f t="shared" si="1"/>
        <v>8</v>
      </c>
      <c r="BF12" s="271"/>
      <c r="BG12" s="271"/>
      <c r="BH12" s="175" t="str">
        <f t="shared" si="0"/>
        <v>MARCONI Dominique</v>
      </c>
    </row>
    <row r="13" spans="2:62" ht="18.75" customHeight="1" thickBot="1" x14ac:dyDescent="0.3">
      <c r="B13" s="175" t="s">
        <v>328</v>
      </c>
      <c r="E13" s="182" t="str">
        <f>IFERROR(VLOOKUP($E$10,Listing!$BD$1:$BF$13,2,0),"")</f>
        <v/>
      </c>
      <c r="F13" s="183" t="str">
        <f>IFERROR(VLOOKUP($E$10,Listing!$BD$1:$BF$13,3,0),"")</f>
        <v/>
      </c>
      <c r="G13" s="180"/>
      <c r="H13" s="180"/>
      <c r="I13" s="180"/>
      <c r="J13" s="180"/>
      <c r="K13" s="181"/>
      <c r="T13" s="1">
        <f>COUNT(T25:T27)</f>
        <v>0</v>
      </c>
      <c r="U13" s="1" t="s">
        <v>316</v>
      </c>
      <c r="V13" s="1">
        <v>3</v>
      </c>
      <c r="W13" s="1">
        <v>2</v>
      </c>
      <c r="X13" s="1">
        <v>3</v>
      </c>
      <c r="Y13" s="1">
        <v>3</v>
      </c>
      <c r="Z13" s="1">
        <v>2</v>
      </c>
      <c r="AA13" s="1">
        <v>3</v>
      </c>
      <c r="BA13" s="3">
        <v>150579</v>
      </c>
      <c r="BB13" s="3" t="s">
        <v>29</v>
      </c>
      <c r="BC13" s="3">
        <v>3.73</v>
      </c>
      <c r="BD13" s="3" t="s">
        <v>156</v>
      </c>
      <c r="BE13" s="271">
        <f t="shared" si="1"/>
        <v>9</v>
      </c>
      <c r="BF13" s="271"/>
      <c r="BG13" s="271"/>
      <c r="BH13" s="175" t="str">
        <f t="shared" si="0"/>
        <v>CLAUSS Frédéric</v>
      </c>
    </row>
    <row r="14" spans="2:62" ht="18.75" customHeight="1" thickBot="1" x14ac:dyDescent="0.3">
      <c r="T14" s="1">
        <f>COUNT(T30:T32)</f>
        <v>0</v>
      </c>
      <c r="U14" s="1" t="s">
        <v>317</v>
      </c>
      <c r="V14" s="1">
        <v>2</v>
      </c>
      <c r="W14" s="1">
        <v>3</v>
      </c>
      <c r="X14" s="1">
        <v>3</v>
      </c>
      <c r="Y14" s="1">
        <v>1</v>
      </c>
      <c r="Z14" s="1">
        <v>2</v>
      </c>
      <c r="AA14" s="1">
        <v>2</v>
      </c>
      <c r="BA14" s="3">
        <v>156198</v>
      </c>
      <c r="BB14" s="3" t="s">
        <v>16</v>
      </c>
      <c r="BC14" s="3">
        <v>3.54</v>
      </c>
      <c r="BD14" s="3" t="s">
        <v>162</v>
      </c>
      <c r="BE14" s="271">
        <f t="shared" si="1"/>
        <v>10</v>
      </c>
      <c r="BF14" s="271"/>
      <c r="BG14" s="271"/>
      <c r="BH14" s="175" t="str">
        <f t="shared" si="0"/>
        <v>BONNEFOY Joel</v>
      </c>
    </row>
    <row r="15" spans="2:62" ht="18.75" customHeight="1" thickBot="1" x14ac:dyDescent="0.3">
      <c r="B15" s="175" t="s">
        <v>325</v>
      </c>
      <c r="E15" s="188"/>
      <c r="I15" s="173"/>
      <c r="J15" s="173"/>
      <c r="BA15" s="3">
        <v>14811</v>
      </c>
      <c r="BB15" s="3" t="s">
        <v>20</v>
      </c>
      <c r="BC15" s="3">
        <v>3.41</v>
      </c>
      <c r="BD15" s="3" t="s">
        <v>160</v>
      </c>
      <c r="BE15" s="271">
        <f t="shared" si="1"/>
        <v>11</v>
      </c>
      <c r="BF15" s="271"/>
      <c r="BG15" s="271"/>
      <c r="BH15" s="175" t="str">
        <f t="shared" si="0"/>
        <v>MESA José</v>
      </c>
    </row>
    <row r="16" spans="2:62" ht="18.75" customHeight="1" thickBot="1" x14ac:dyDescent="0.3">
      <c r="K16" s="279" t="s">
        <v>324</v>
      </c>
      <c r="BA16" s="3">
        <v>14789</v>
      </c>
      <c r="BB16" s="3" t="s">
        <v>341</v>
      </c>
      <c r="BC16" s="3">
        <v>2.71</v>
      </c>
      <c r="BD16" s="3" t="s">
        <v>197</v>
      </c>
      <c r="BE16" s="271">
        <f t="shared" si="1"/>
        <v>12</v>
      </c>
      <c r="BF16" s="271"/>
      <c r="BG16" s="271"/>
      <c r="BH16" s="175" t="str">
        <f t="shared" si="0"/>
        <v>VADALA Gino</v>
      </c>
    </row>
    <row r="17" spans="2:60" ht="18.75" customHeight="1" x14ac:dyDescent="0.25">
      <c r="E17" s="283" t="s">
        <v>323</v>
      </c>
      <c r="F17" s="273" t="s">
        <v>319</v>
      </c>
      <c r="G17" s="274"/>
      <c r="K17" s="279"/>
      <c r="BA17" s="3">
        <v>15290</v>
      </c>
      <c r="BB17" s="3" t="s">
        <v>365</v>
      </c>
      <c r="BC17" s="3">
        <v>0</v>
      </c>
      <c r="BD17" s="3" t="s">
        <v>351</v>
      </c>
      <c r="BE17" s="271">
        <f t="shared" si="1"/>
        <v>13</v>
      </c>
      <c r="BF17" s="271"/>
      <c r="BG17" s="271"/>
      <c r="BH17" s="175" t="str">
        <f t="shared" si="0"/>
        <v>INFANTINO Bénédetto</v>
      </c>
    </row>
    <row r="18" spans="2:60" ht="18.75" customHeight="1" x14ac:dyDescent="0.25">
      <c r="E18" s="283"/>
      <c r="F18" s="275"/>
      <c r="G18" s="276"/>
      <c r="K18" s="279"/>
      <c r="Q18" s="3" t="s">
        <v>310</v>
      </c>
      <c r="BE18" s="271"/>
      <c r="BF18" s="271"/>
      <c r="BG18" s="271"/>
    </row>
    <row r="19" spans="2:60" ht="18.75" customHeight="1" thickBot="1" x14ac:dyDescent="0.3">
      <c r="C19" s="3" t="s">
        <v>309</v>
      </c>
      <c r="E19" s="3" t="s">
        <v>308</v>
      </c>
      <c r="F19" s="277"/>
      <c r="G19" s="278"/>
      <c r="K19" s="225" t="str">
        <f>'Calc Inscription Joueurs'!A6</f>
        <v>POULE 1</v>
      </c>
      <c r="O19" s="3" t="s">
        <v>366</v>
      </c>
      <c r="P19" s="134"/>
      <c r="Q19" s="135"/>
      <c r="R19" s="136" t="str">
        <f>B36</f>
        <v>FORFAIT</v>
      </c>
      <c r="T19" s="1">
        <f>COUNT(T20:T32)</f>
        <v>0</v>
      </c>
      <c r="AF19" s="3">
        <v>23</v>
      </c>
      <c r="AH19" s="3">
        <v>456</v>
      </c>
      <c r="AJ19" s="3">
        <v>789</v>
      </c>
      <c r="AK19" s="3" t="s">
        <v>311</v>
      </c>
      <c r="BA19" s="3" t="s">
        <v>352</v>
      </c>
      <c r="BE19" s="271" t="s">
        <v>301</v>
      </c>
      <c r="BF19" s="271" t="s">
        <v>302</v>
      </c>
      <c r="BG19" s="271" t="s">
        <v>303</v>
      </c>
    </row>
    <row r="20" spans="2:60" ht="18.75" customHeight="1" x14ac:dyDescent="0.25">
      <c r="B20" s="47" t="s">
        <v>79</v>
      </c>
      <c r="C20" s="201"/>
      <c r="D20" s="241" t="str">
        <f>IF(E20="","",VLOOKUP(E20,'LISTES JOUEURS'!$B$44:$D$584,2,0))</f>
        <v/>
      </c>
      <c r="E20" s="202"/>
      <c r="F20" s="192"/>
      <c r="G20" s="193" t="s">
        <v>305</v>
      </c>
      <c r="J20" s="222">
        <f>IFERROR(VLOOKUP(K20,$AK$20:$AL$32,2,0),"")</f>
        <v>0</v>
      </c>
      <c r="K20" s="226">
        <f>AB20</f>
        <v>0</v>
      </c>
      <c r="N20" s="189" t="b">
        <v>0</v>
      </c>
      <c r="O20" s="189">
        <f>IF(D20=D21,E22,IF(D20=D22,E21,E20))</f>
        <v>0</v>
      </c>
      <c r="P20" s="137" t="str">
        <f>IF(N20=TRUE,C20,"")</f>
        <v/>
      </c>
      <c r="Q20" s="1" t="str">
        <f>IFERROR(RANK(P20,$P$20:$P$32,1),"")</f>
        <v/>
      </c>
      <c r="R20" s="138" t="str">
        <f>IF(N20=TRUE,E20,"")</f>
        <v/>
      </c>
      <c r="S20" s="1" t="str">
        <f>IF(C20="","",IF(N20=FALSE,C20,""))</f>
        <v/>
      </c>
      <c r="T20" s="1" t="str">
        <f>IFERROR(RANK(S20,$S$20:$S$32,1),"")</f>
        <v/>
      </c>
      <c r="U20" s="1" t="str">
        <f>IF(E20="","",IF(N20=FALSE,E20,""))</f>
        <v/>
      </c>
      <c r="AB20" s="1">
        <f>IF(AND(AC20=AC21,AC22=""),AD20,IF(AC21=AC20,AD22,IF(AC22=AC20,AD21,AD20)))</f>
        <v>0</v>
      </c>
      <c r="AC20" s="1" t="str">
        <f>IF(AD20="","",VLOOKUP(AD20,'LISTES JOUEURS'!$B$44:$D$584,2,0))</f>
        <v>0</v>
      </c>
      <c r="AD20" s="147">
        <f>IF($T$19=$C$33,AK20,IF($T$19&gt;6,AJ20,IF($T$19&lt;4,AF20,AH20)))</f>
        <v>0</v>
      </c>
      <c r="AE20" s="1">
        <v>1</v>
      </c>
      <c r="AF20" s="3" t="str">
        <f>IFERROR(VLOOKUP(AE20,$T$20:$U$32,2,0),"")</f>
        <v/>
      </c>
      <c r="AG20" s="3">
        <v>1</v>
      </c>
      <c r="AH20" s="3" t="str">
        <f>IFERROR(VLOOKUP(AG20,$T$20:$U$32,2,0),"")</f>
        <v/>
      </c>
      <c r="AI20" s="3">
        <v>1</v>
      </c>
      <c r="AJ20" s="3" t="str">
        <f>IFERROR(VLOOKUP(AI20,$T$20:$U$32,2,0),"")</f>
        <v/>
      </c>
      <c r="AK20" s="3">
        <f>E20</f>
        <v>0</v>
      </c>
      <c r="AL20" s="3">
        <f>C20</f>
        <v>0</v>
      </c>
      <c r="BA20" s="3" t="s">
        <v>148</v>
      </c>
      <c r="BB20" s="3" t="s">
        <v>149</v>
      </c>
      <c r="BC20" s="3" t="s">
        <v>150</v>
      </c>
      <c r="BD20" s="3" t="s">
        <v>350</v>
      </c>
      <c r="BE20" s="271" t="s">
        <v>375</v>
      </c>
      <c r="BF20" s="271" t="s">
        <v>375</v>
      </c>
      <c r="BG20" s="271" t="s">
        <v>375</v>
      </c>
      <c r="BH20" s="175" t="str">
        <f t="shared" ref="BH20:BH26" si="2">BB20</f>
        <v>Nom</v>
      </c>
    </row>
    <row r="21" spans="2:60" ht="18.75" customHeight="1" x14ac:dyDescent="0.25">
      <c r="B21" s="152">
        <f>COUNT(C20:C22)</f>
        <v>0</v>
      </c>
      <c r="C21" s="203"/>
      <c r="D21" s="242" t="str">
        <f>IF(E21="","",VLOOKUP(E21,'LISTES JOUEURS'!$B$44:$D$584,2,0))</f>
        <v/>
      </c>
      <c r="E21" s="204"/>
      <c r="F21" s="192"/>
      <c r="G21" s="193" t="s">
        <v>305</v>
      </c>
      <c r="J21" s="223">
        <f>IFERROR(VLOOKUP(K21,$AK$20:$AL$32,2,0),"")</f>
        <v>0</v>
      </c>
      <c r="K21" s="227">
        <f>AB21</f>
        <v>0</v>
      </c>
      <c r="N21" s="189" t="b">
        <v>0</v>
      </c>
      <c r="O21" s="189">
        <f>IF(D20=D21,E20,IF(D20=D22,E20,E21))</f>
        <v>0</v>
      </c>
      <c r="P21" s="137" t="str">
        <f>IF(N21=TRUE,C21,"")</f>
        <v/>
      </c>
      <c r="Q21" s="1" t="str">
        <f t="shared" ref="Q21:Q22" si="3">IFERROR(RANK(P21,$P$20:$P$32,1),"")</f>
        <v/>
      </c>
      <c r="R21" s="138" t="str">
        <f>IF(N21=TRUE,E21,"")</f>
        <v/>
      </c>
      <c r="S21" s="1" t="str">
        <f>IF(C21="","",IF(N21=FALSE,C21,""))</f>
        <v/>
      </c>
      <c r="T21" s="1" t="str">
        <f>IFERROR(RANK(S21,$S$20:$S$32,1),"")</f>
        <v/>
      </c>
      <c r="U21" s="1" t="str">
        <f>IF(E21="","",IF(N21=FALSE,E21,""))</f>
        <v/>
      </c>
      <c r="AB21" s="1">
        <f>IF(AB20&lt;&gt;AD20,AD20,IF(AB20=AD21,AD22,AD21))</f>
        <v>0</v>
      </c>
      <c r="AC21" s="1" t="str">
        <f>IF(AD21="","",VLOOKUP(AD21,'LISTES JOUEURS'!$B$44:$D$584,2,0))</f>
        <v>0</v>
      </c>
      <c r="AD21" s="148">
        <f>IF($T$19=$C$33,AK21,IF($T$19&gt;6,AJ21,IF($T$19&lt;4,AF21,AH21)))</f>
        <v>0</v>
      </c>
      <c r="AE21" s="1">
        <v>2</v>
      </c>
      <c r="AF21" s="3" t="str">
        <f>IFERROR(VLOOKUP(AE21,$T$20:$U$32,2,0),"")</f>
        <v/>
      </c>
      <c r="AG21" s="3">
        <v>4</v>
      </c>
      <c r="AH21" s="3" t="str">
        <f>IFERROR(VLOOKUP(AG21,$T$20:$U$32,2,0),"")</f>
        <v/>
      </c>
      <c r="AI21" s="3">
        <v>6</v>
      </c>
      <c r="AJ21" s="3" t="str">
        <f>IFERROR(VLOOKUP(AI21,$T$20:$U$32,2,0),"")</f>
        <v/>
      </c>
      <c r="AK21" s="3">
        <f>E21</f>
        <v>0</v>
      </c>
      <c r="AL21" s="3">
        <f>C21</f>
        <v>0</v>
      </c>
      <c r="BA21" s="3">
        <v>15019</v>
      </c>
      <c r="BB21" s="3" t="s">
        <v>40</v>
      </c>
      <c r="BC21" s="3">
        <v>3.42</v>
      </c>
      <c r="BD21" s="3" t="s">
        <v>164</v>
      </c>
      <c r="BE21" s="271">
        <f>RANK(BC21,$BC$21:$BC$26,0)</f>
        <v>1</v>
      </c>
      <c r="BF21" s="271"/>
      <c r="BG21" s="271"/>
      <c r="BH21" s="175" t="str">
        <f t="shared" si="2"/>
        <v>LEGRAND Robert</v>
      </c>
    </row>
    <row r="22" spans="2:60" ht="18.75" customHeight="1" thickBot="1" x14ac:dyDescent="0.3">
      <c r="C22" s="205"/>
      <c r="D22" s="243" t="str">
        <f>IF(E22="","",VLOOKUP(E22,'LISTES JOUEURS'!$B$44:$D$584,2,0))</f>
        <v/>
      </c>
      <c r="E22" s="206"/>
      <c r="F22" s="192"/>
      <c r="G22" s="193" t="s">
        <v>305</v>
      </c>
      <c r="J22" s="224">
        <f>IFERROR(VLOOKUP(K22,$AK$20:$AL$32,2,0),"")</f>
        <v>0</v>
      </c>
      <c r="K22" s="228">
        <f>AB22</f>
        <v>0</v>
      </c>
      <c r="N22" s="189" t="b">
        <v>0</v>
      </c>
      <c r="O22" s="189">
        <f>IF(D20=D21,E21,IF(D20=D22,E22,E22))</f>
        <v>0</v>
      </c>
      <c r="P22" s="137" t="str">
        <f>IF(N22=TRUE,C22,"")</f>
        <v/>
      </c>
      <c r="Q22" s="1" t="str">
        <f t="shared" si="3"/>
        <v/>
      </c>
      <c r="R22" s="138" t="str">
        <f>IF(N22=TRUE,E22,"")</f>
        <v/>
      </c>
      <c r="S22" s="1" t="str">
        <f>IF(C22="","",IF(N22=FALSE,C22,""))</f>
        <v/>
      </c>
      <c r="T22" s="1" t="str">
        <f>IFERROR(RANK(S22,$S$20:$S$32,1),"")</f>
        <v/>
      </c>
      <c r="U22" s="1" t="str">
        <f>IF(E22="","",IF(N22=FALSE,E22,""))</f>
        <v/>
      </c>
      <c r="AB22" s="1">
        <f>IF(AB20&lt;&gt;AD22,AD22,AD21)</f>
        <v>0</v>
      </c>
      <c r="AC22" s="1" t="str">
        <f>IF(AD22="","",VLOOKUP(AD22,'LISTES JOUEURS'!$B$44:$D$584,2,0))</f>
        <v>0</v>
      </c>
      <c r="AD22" s="149">
        <f>IF($T$19=$C$33,AK22,IF($T$19&gt;6,AJ22,IF($T$19&lt;4,AF22,AH22)))</f>
        <v>0</v>
      </c>
      <c r="AE22" s="1">
        <v>3</v>
      </c>
      <c r="AF22" s="3" t="str">
        <f>IFERROR(VLOOKUP(AE22,$T$20:$U$32,2,0),"")</f>
        <v/>
      </c>
      <c r="AG22" s="3">
        <v>5</v>
      </c>
      <c r="AH22" s="3" t="str">
        <f>IFERROR(VLOOKUP(AG22,$T$20:$U$32,2,0),"")</f>
        <v/>
      </c>
      <c r="AI22" s="3">
        <v>7</v>
      </c>
      <c r="AJ22" s="3" t="str">
        <f>IFERROR(VLOOKUP(AI22,$T$20:$U$32,2,0),"")</f>
        <v/>
      </c>
      <c r="AK22" s="3">
        <f>E22</f>
        <v>0</v>
      </c>
      <c r="AL22" s="3">
        <f>C22</f>
        <v>0</v>
      </c>
      <c r="BA22" s="3">
        <v>112364</v>
      </c>
      <c r="BB22" s="3" t="s">
        <v>48</v>
      </c>
      <c r="BC22" s="3">
        <v>3.23</v>
      </c>
      <c r="BD22" s="3" t="s">
        <v>175</v>
      </c>
      <c r="BE22" s="271">
        <f t="shared" ref="BE22:BE26" si="4">RANK(BC22,$BC$21:$BC$26,0)</f>
        <v>2</v>
      </c>
      <c r="BF22" s="271"/>
      <c r="BG22" s="271"/>
      <c r="BH22" s="175" t="str">
        <f t="shared" si="2"/>
        <v>RAVAGLI François</v>
      </c>
    </row>
    <row r="23" spans="2:60" ht="18.75" customHeight="1" x14ac:dyDescent="0.25">
      <c r="E23" s="46"/>
      <c r="F23" s="46"/>
      <c r="K23" s="26"/>
      <c r="P23" s="139"/>
      <c r="R23" s="138"/>
      <c r="AD23" s="146"/>
      <c r="BA23" s="3">
        <v>120525</v>
      </c>
      <c r="BB23" s="3" t="s">
        <v>47</v>
      </c>
      <c r="BC23" s="3">
        <v>2.71</v>
      </c>
      <c r="BD23" s="3" t="s">
        <v>175</v>
      </c>
      <c r="BE23" s="271">
        <f t="shared" si="4"/>
        <v>3</v>
      </c>
      <c r="BF23" s="271"/>
      <c r="BG23" s="271"/>
      <c r="BH23" s="175" t="str">
        <f t="shared" si="2"/>
        <v>RUZZON Bruno</v>
      </c>
    </row>
    <row r="24" spans="2:60" ht="18.75" customHeight="1" thickBot="1" x14ac:dyDescent="0.3">
      <c r="C24" s="3" t="s">
        <v>309</v>
      </c>
      <c r="E24" s="3" t="s">
        <v>308</v>
      </c>
      <c r="F24" s="47"/>
      <c r="G24" s="190"/>
      <c r="K24" s="225" t="str">
        <f>'Calc Inscription Joueurs'!A9</f>
        <v>POULE 2</v>
      </c>
      <c r="P24" s="139"/>
      <c r="R24" s="138"/>
      <c r="AD24" s="146"/>
      <c r="BA24" s="3">
        <v>102806</v>
      </c>
      <c r="BB24" s="3" t="s">
        <v>51</v>
      </c>
      <c r="BC24" s="3">
        <v>2.46</v>
      </c>
      <c r="BD24" s="3" t="s">
        <v>175</v>
      </c>
      <c r="BE24" s="271">
        <f t="shared" si="4"/>
        <v>4</v>
      </c>
      <c r="BF24" s="271"/>
      <c r="BG24" s="271"/>
      <c r="BH24" s="175" t="str">
        <f t="shared" si="2"/>
        <v>MALVAREZ Jean</v>
      </c>
    </row>
    <row r="25" spans="2:60" ht="18.75" customHeight="1" x14ac:dyDescent="0.25">
      <c r="B25" s="47" t="s">
        <v>80</v>
      </c>
      <c r="C25" s="207"/>
      <c r="D25" s="244" t="str">
        <f>IF(E25="","",VLOOKUP(E25,'LISTES JOUEURS'!$B$44:$D$584,2,0))</f>
        <v/>
      </c>
      <c r="E25" s="208"/>
      <c r="F25" s="194"/>
      <c r="G25" s="195" t="s">
        <v>305</v>
      </c>
      <c r="H25" s="145"/>
      <c r="J25" s="127">
        <f>IFERROR(VLOOKUP(K25,$AK$20:$AL$32,2,0),"")</f>
        <v>0</v>
      </c>
      <c r="K25" s="229">
        <f>AB25</f>
        <v>0</v>
      </c>
      <c r="N25" s="189" t="b">
        <v>0</v>
      </c>
      <c r="O25" s="189">
        <f>IF(D25=D26,E27,IF(D25=D27,E26,E25))</f>
        <v>0</v>
      </c>
      <c r="P25" s="137" t="str">
        <f>IF(N25=TRUE,C25,"")</f>
        <v/>
      </c>
      <c r="Q25" s="1" t="str">
        <f>IFERROR(RANK(P25,$P$20:$P$32,1),"")</f>
        <v/>
      </c>
      <c r="R25" s="138" t="str">
        <f>IF(N25=TRUE,E25,"")</f>
        <v/>
      </c>
      <c r="S25" s="1" t="str">
        <f>IF(C25="","",IF(N25=FALSE,C25,""))</f>
        <v/>
      </c>
      <c r="T25" s="1" t="str">
        <f>IFERROR(RANK(S25,$S$20:$S$32,1),"")</f>
        <v/>
      </c>
      <c r="U25" s="1" t="str">
        <f>IF(E25="","",IF(N25=FALSE,E25,""))</f>
        <v/>
      </c>
      <c r="AB25" s="1">
        <f>IF(AND(AC25=AC26,AC27=""),AD25,IF(AC26=AC25,AD27,IF(AC27=AC25,AD26,AD25)))</f>
        <v>0</v>
      </c>
      <c r="AC25" s="1" t="str">
        <f>IF(AD25="","",VLOOKUP(AD25,'LISTES JOUEURS'!$B$44:$D$584,2,0))</f>
        <v>0</v>
      </c>
      <c r="AD25" s="147">
        <f>IF($T$19=$C$33,AK25,IF($T$19&gt;6,AJ25,IF($T$19&lt;4,"",AH25)))</f>
        <v>0</v>
      </c>
      <c r="AF25" s="3" t="str">
        <f>IFERROR(VLOOKUP(AE25,$T$20:$U$32,2,0),"")</f>
        <v/>
      </c>
      <c r="AG25" s="3">
        <v>2</v>
      </c>
      <c r="AH25" s="3" t="str">
        <f>IFERROR(VLOOKUP(AG25,$T$20:$U$32,2,0),"")</f>
        <v/>
      </c>
      <c r="AI25" s="3">
        <v>2</v>
      </c>
      <c r="AJ25" s="3" t="str">
        <f>IFERROR(VLOOKUP(AI25,$T$20:$U$32,2,0),"")</f>
        <v/>
      </c>
      <c r="AK25" s="3">
        <f>E25</f>
        <v>0</v>
      </c>
      <c r="AL25" s="3">
        <f>C25</f>
        <v>0</v>
      </c>
      <c r="BA25" s="3">
        <v>14817</v>
      </c>
      <c r="BB25" s="3" t="s">
        <v>43</v>
      </c>
      <c r="BC25" s="3">
        <v>2.02</v>
      </c>
      <c r="BD25" s="3" t="s">
        <v>164</v>
      </c>
      <c r="BE25" s="271">
        <f t="shared" si="4"/>
        <v>5</v>
      </c>
      <c r="BF25" s="271"/>
      <c r="BG25" s="271"/>
      <c r="BH25" s="175" t="str">
        <f t="shared" si="2"/>
        <v>DALLA TORRE Gérard</v>
      </c>
    </row>
    <row r="26" spans="2:60" ht="18.75" customHeight="1" x14ac:dyDescent="0.25">
      <c r="B26" s="152">
        <f>COUNT(C25:C27)</f>
        <v>0</v>
      </c>
      <c r="C26" s="209"/>
      <c r="D26" s="245" t="str">
        <f>IF(E26="","",VLOOKUP(E26,'LISTES JOUEURS'!$B$44:$D$584,2,0))</f>
        <v/>
      </c>
      <c r="E26" s="210"/>
      <c r="F26" s="194"/>
      <c r="G26" s="195" t="s">
        <v>305</v>
      </c>
      <c r="H26" s="145"/>
      <c r="J26" s="128">
        <f>IFERROR(VLOOKUP(K26,$AK$20:$AL$32,2,0),"")</f>
        <v>0</v>
      </c>
      <c r="K26" s="230">
        <f>AB26</f>
        <v>0</v>
      </c>
      <c r="N26" s="189" t="b">
        <v>0</v>
      </c>
      <c r="O26" s="189">
        <f>IF(D25=D26,E25,IF(D25=D27,E25,E26))</f>
        <v>0</v>
      </c>
      <c r="P26" s="137" t="str">
        <f>IF(N26=TRUE,C26,"")</f>
        <v/>
      </c>
      <c r="Q26" s="1" t="str">
        <f t="shared" ref="Q26:Q27" si="5">IFERROR(RANK(P26,$P$20:$P$32,1),"")</f>
        <v/>
      </c>
      <c r="R26" s="138" t="str">
        <f>IF(N26=TRUE,E26,"")</f>
        <v/>
      </c>
      <c r="S26" s="1" t="str">
        <f>IF(C26="","",IF(N26=FALSE,C26,""))</f>
        <v/>
      </c>
      <c r="T26" s="1" t="str">
        <f>IFERROR(RANK(S26,$S$20:$S$32,1),"")</f>
        <v/>
      </c>
      <c r="U26" s="1" t="str">
        <f>IF(E26="","",IF(N26=FALSE,E26,""))</f>
        <v/>
      </c>
      <c r="AB26" s="1">
        <f>IF(AB25&lt;&gt;AD25,AD25,IF(AB25=AD26,AD27,AD26))</f>
        <v>0</v>
      </c>
      <c r="AC26" s="1" t="str">
        <f>IF(AD26="","",VLOOKUP(AD26,'LISTES JOUEURS'!$B$44:$D$584,2,0))</f>
        <v>0</v>
      </c>
      <c r="AD26" s="148">
        <f>IF($T$19=$C$33,AK26,IF($T$19&gt;6,AJ26,IF($T$19&lt;4,"",AH26)))</f>
        <v>0</v>
      </c>
      <c r="AF26" s="3" t="str">
        <f>IFERROR(VLOOKUP(AE26,$T$20:$U$32,2,0),"")</f>
        <v/>
      </c>
      <c r="AG26" s="3">
        <v>3</v>
      </c>
      <c r="AH26" s="3" t="str">
        <f>IFERROR(VLOOKUP(AG26,$T$20:$U$32,2,0),"")</f>
        <v/>
      </c>
      <c r="AI26" s="3">
        <v>5</v>
      </c>
      <c r="AJ26" s="3" t="str">
        <f>IFERROR(VLOOKUP(AI26,$T$20:$U$32,2,0),"")</f>
        <v/>
      </c>
      <c r="AK26" s="3">
        <f>E26</f>
        <v>0</v>
      </c>
      <c r="AL26" s="3">
        <f>C26</f>
        <v>0</v>
      </c>
      <c r="BA26" s="3">
        <v>15400</v>
      </c>
      <c r="BB26" s="3" t="s">
        <v>22</v>
      </c>
      <c r="BC26" s="3">
        <v>0.73</v>
      </c>
      <c r="BD26" s="3" t="s">
        <v>175</v>
      </c>
      <c r="BE26" s="272">
        <f t="shared" si="4"/>
        <v>6</v>
      </c>
      <c r="BF26" s="272"/>
      <c r="BG26" s="272"/>
      <c r="BH26" s="175" t="str">
        <f t="shared" si="2"/>
        <v>GEORGES Bertrand</v>
      </c>
    </row>
    <row r="27" spans="2:60" ht="18.75" customHeight="1" thickBot="1" x14ac:dyDescent="0.3">
      <c r="C27" s="211"/>
      <c r="D27" s="246" t="str">
        <f>IF(E27="","",VLOOKUP(E27,'LISTES JOUEURS'!$B$44:$D$584,2,0))</f>
        <v/>
      </c>
      <c r="E27" s="212"/>
      <c r="F27" s="194"/>
      <c r="G27" s="195" t="s">
        <v>305</v>
      </c>
      <c r="H27" s="145"/>
      <c r="J27" s="129">
        <f>IFERROR(VLOOKUP(K27,$AK$20:$AL$32,2,0),"")</f>
        <v>0</v>
      </c>
      <c r="K27" s="231">
        <f>AB27</f>
        <v>0</v>
      </c>
      <c r="N27" s="189" t="b">
        <v>0</v>
      </c>
      <c r="O27" s="189">
        <f>IF(D25=D26,E26,IF(D25=D27,E27,E27))</f>
        <v>0</v>
      </c>
      <c r="P27" s="137" t="str">
        <f>IF(N27=TRUE,C27,"")</f>
        <v/>
      </c>
      <c r="Q27" s="1" t="str">
        <f t="shared" si="5"/>
        <v/>
      </c>
      <c r="R27" s="138" t="str">
        <f>IF(N27=TRUE,E27,"")</f>
        <v/>
      </c>
      <c r="S27" s="1" t="str">
        <f>IF(C27="","",IF(N27=FALSE,C27,""))</f>
        <v/>
      </c>
      <c r="T27" s="1" t="str">
        <f>IFERROR(RANK(S27,$S$20:$S$32,1),"")</f>
        <v/>
      </c>
      <c r="U27" s="1" t="str">
        <f>IF(E27="","",IF(N27=FALSE,E27,""))</f>
        <v/>
      </c>
      <c r="AB27" s="1">
        <f>IF(AB25&lt;&gt;AD27,AD27,AD26)</f>
        <v>0</v>
      </c>
      <c r="AC27" s="1" t="str">
        <f>IF(AD27="","",VLOOKUP(AD27,'LISTES JOUEURS'!$B$44:$D$584,2,0))</f>
        <v>0</v>
      </c>
      <c r="AD27" s="149">
        <f>IF($T$19=$C$33,AK27,IF($T$19&gt;6,AJ27,IF($T$19&lt;4,"",AH27)))</f>
        <v>0</v>
      </c>
      <c r="AF27" s="3" t="str">
        <f>IFERROR(VLOOKUP(AE27,$T$20:$U$32,2,0),"")</f>
        <v/>
      </c>
      <c r="AG27" s="3">
        <v>6</v>
      </c>
      <c r="AH27" s="3" t="str">
        <f>IFERROR(VLOOKUP(AG27,$T$20:$U$32,2,0),"")</f>
        <v/>
      </c>
      <c r="AI27" s="3">
        <v>8</v>
      </c>
      <c r="AJ27" s="3" t="str">
        <f>IFERROR(VLOOKUP(AI27,$T$20:$U$32,2,0),"")</f>
        <v/>
      </c>
      <c r="AK27" s="3">
        <f>E27</f>
        <v>0</v>
      </c>
      <c r="AL27" s="3">
        <f>C27</f>
        <v>0</v>
      </c>
    </row>
    <row r="28" spans="2:60" ht="18.75" customHeight="1" x14ac:dyDescent="0.25">
      <c r="E28" s="46"/>
      <c r="F28" s="46"/>
      <c r="G28" s="145"/>
      <c r="H28" s="145"/>
      <c r="K28" s="26"/>
      <c r="P28" s="139"/>
      <c r="R28" s="138"/>
      <c r="AD28" s="146"/>
    </row>
    <row r="29" spans="2:60" ht="18.75" customHeight="1" thickBot="1" x14ac:dyDescent="0.3">
      <c r="C29" s="3" t="s">
        <v>309</v>
      </c>
      <c r="E29" s="3" t="s">
        <v>308</v>
      </c>
      <c r="F29" s="47"/>
      <c r="G29" s="191"/>
      <c r="H29" s="145"/>
      <c r="K29" s="225" t="str">
        <f>'Calc Inscription Joueurs'!A12</f>
        <v>POULE 3</v>
      </c>
      <c r="P29" s="139"/>
      <c r="R29" s="138"/>
      <c r="AD29" s="146"/>
    </row>
    <row r="30" spans="2:60" ht="18.75" customHeight="1" x14ac:dyDescent="0.25">
      <c r="B30" s="47" t="s">
        <v>112</v>
      </c>
      <c r="C30" s="213"/>
      <c r="D30" s="247" t="str">
        <f>IF(E30="","",VLOOKUP(E30,'LISTES JOUEURS'!$B$44:$D$584,2,0))</f>
        <v/>
      </c>
      <c r="E30" s="214"/>
      <c r="F30" s="196"/>
      <c r="G30" s="197" t="s">
        <v>305</v>
      </c>
      <c r="H30" s="145"/>
      <c r="J30" s="130">
        <f>IFERROR(VLOOKUP(K30,$AK$20:$AL$32,2,0),"")</f>
        <v>0</v>
      </c>
      <c r="K30" s="232">
        <f>AB30</f>
        <v>0</v>
      </c>
      <c r="N30" s="189" t="b">
        <v>0</v>
      </c>
      <c r="O30" s="189">
        <f>IF(D30=D31,E32,IF(D30=D32,E31,E30))</f>
        <v>0</v>
      </c>
      <c r="P30" s="137" t="str">
        <f>IF(N30=TRUE,C30,"")</f>
        <v/>
      </c>
      <c r="Q30" s="1" t="str">
        <f>IFERROR(RANK(P30,$P$20:$P$32,1),"")</f>
        <v/>
      </c>
      <c r="R30" s="138" t="str">
        <f>IF(N30=TRUE,E30,"")</f>
        <v/>
      </c>
      <c r="S30" s="1" t="str">
        <f>IF(C30="","",IF(N30=FALSE,C30,""))</f>
        <v/>
      </c>
      <c r="T30" s="1" t="str">
        <f>IFERROR(RANK(S30,$S$20:$S$32,1),"")</f>
        <v/>
      </c>
      <c r="U30" s="1" t="str">
        <f>IF(E30="","",IF(N30=FALSE,E30,""))</f>
        <v/>
      </c>
      <c r="AB30" s="1">
        <f>IF(AND(AC30=AC31,AC32=""),AD30,IF(AC31=AC30,AD32,IF(AC32=AC30,AD31,AD30)))</f>
        <v>0</v>
      </c>
      <c r="AC30" s="1" t="str">
        <f>IF(AD30="","",VLOOKUP(AD30,'LISTES JOUEURS'!$B$44:$D$584,2,0))</f>
        <v>0</v>
      </c>
      <c r="AD30" s="147">
        <f>IF($T$19=$C$33,AK30,IF($T$19&gt;6,AJ30,IF($T$19&lt;4,"","")))</f>
        <v>0</v>
      </c>
      <c r="AF30" s="3" t="str">
        <f>IFERROR(VLOOKUP(AE30,$T$20:$U$32,2,0),"")</f>
        <v/>
      </c>
      <c r="AH30" s="3" t="str">
        <f>IFERROR(VLOOKUP(AG30,$T$20:$U$32,2,0),"")</f>
        <v/>
      </c>
      <c r="AI30" s="3">
        <v>3</v>
      </c>
      <c r="AJ30" s="3" t="str">
        <f>IFERROR(VLOOKUP(AI30,$T$20:$U$32,2,0),"")</f>
        <v/>
      </c>
      <c r="AK30" s="3">
        <f>E30</f>
        <v>0</v>
      </c>
      <c r="AL30" s="3">
        <f>C30</f>
        <v>0</v>
      </c>
    </row>
    <row r="31" spans="2:60" ht="18.75" customHeight="1" x14ac:dyDescent="0.25">
      <c r="B31" s="152">
        <f>COUNT(C30:C32)</f>
        <v>0</v>
      </c>
      <c r="C31" s="215"/>
      <c r="D31" s="248" t="str">
        <f>IF(E31="","",VLOOKUP(E31,'LISTES JOUEURS'!$B$44:$D$584,2,0))</f>
        <v/>
      </c>
      <c r="E31" s="216"/>
      <c r="F31" s="196"/>
      <c r="G31" s="197" t="s">
        <v>305</v>
      </c>
      <c r="H31" s="145"/>
      <c r="J31" s="131">
        <f>IFERROR(VLOOKUP(K31,$AK$20:$AL$32,2,0),"")</f>
        <v>0</v>
      </c>
      <c r="K31" s="233">
        <f>AB31</f>
        <v>0</v>
      </c>
      <c r="N31" s="189" t="b">
        <v>0</v>
      </c>
      <c r="O31" s="189">
        <f>IF(D30=D31,E30,IF(D30=D32,E30,E31))</f>
        <v>0</v>
      </c>
      <c r="P31" s="137" t="str">
        <f>IF(N31=TRUE,C31,"")</f>
        <v/>
      </c>
      <c r="Q31" s="1" t="str">
        <f t="shared" ref="Q31:Q32" si="6">IFERROR(RANK(P31,$P$20:$P$32,1),"")</f>
        <v/>
      </c>
      <c r="R31" s="138" t="str">
        <f>IF(N31=TRUE,E31,"")</f>
        <v/>
      </c>
      <c r="S31" s="1" t="str">
        <f>IF(C31="","",IF(N31=FALSE,C31,""))</f>
        <v/>
      </c>
      <c r="T31" s="1" t="str">
        <f>IFERROR(RANK(S31,$S$20:$S$32,1),"")</f>
        <v/>
      </c>
      <c r="U31" s="1" t="str">
        <f>IF(E31="","",IF(N31=FALSE,E31,""))</f>
        <v/>
      </c>
      <c r="AB31" s="1">
        <f>IF(AB30&lt;&gt;AD30,AD30,IF(AB30=AD31,AD32,AD31))</f>
        <v>0</v>
      </c>
      <c r="AC31" s="1" t="str">
        <f>IF(AD31="","",VLOOKUP(AD31,'LISTES JOUEURS'!$B$44:$D$584,2,0))</f>
        <v>0</v>
      </c>
      <c r="AD31" s="148">
        <f>IF($T$19=$C$33,AK31,IF($T$19&gt;6,AJ31,IF($T$19&lt;4,"","")))</f>
        <v>0</v>
      </c>
      <c r="AF31" s="3" t="str">
        <f>IFERROR(VLOOKUP(AE31,$T$20:$U$32,2,0),"")</f>
        <v/>
      </c>
      <c r="AH31" s="3" t="str">
        <f>IFERROR(VLOOKUP(AG31,$T$20:$U$32,2,0),"")</f>
        <v/>
      </c>
      <c r="AI31" s="3">
        <v>4</v>
      </c>
      <c r="AJ31" s="3" t="str">
        <f>IFERROR(VLOOKUP(AI31,$T$20:$U$32,2,0),"")</f>
        <v/>
      </c>
      <c r="AK31" s="3">
        <f>E31</f>
        <v>0</v>
      </c>
      <c r="AL31" s="3">
        <f>C31</f>
        <v>0</v>
      </c>
    </row>
    <row r="32" spans="2:60" ht="18.75" customHeight="1" thickBot="1" x14ac:dyDescent="0.3">
      <c r="C32" s="217"/>
      <c r="D32" s="249" t="str">
        <f>IF(E32="","",VLOOKUP(E32,'LISTES JOUEURS'!$B$44:$D$584,2,0))</f>
        <v/>
      </c>
      <c r="E32" s="218"/>
      <c r="F32" s="196"/>
      <c r="G32" s="197" t="s">
        <v>305</v>
      </c>
      <c r="H32" s="145"/>
      <c r="J32" s="132">
        <f>IFERROR(VLOOKUP(K32,$AK$20:$AL$32,2,0),"")</f>
        <v>0</v>
      </c>
      <c r="K32" s="234">
        <f>AB32</f>
        <v>0</v>
      </c>
      <c r="N32" s="189" t="b">
        <v>0</v>
      </c>
      <c r="O32" s="189">
        <f>IF(D30=D31,E31,IF(D30=D32,E32,E32))</f>
        <v>0</v>
      </c>
      <c r="P32" s="140" t="str">
        <f>IF(N32=TRUE,C32,"")</f>
        <v/>
      </c>
      <c r="Q32" s="141" t="str">
        <f t="shared" si="6"/>
        <v/>
      </c>
      <c r="R32" s="142" t="str">
        <f>IF(N32=TRUE,E32,"")</f>
        <v/>
      </c>
      <c r="S32" s="1" t="str">
        <f>IF(C32="","",IF(N32=FALSE,C32,""))</f>
        <v/>
      </c>
      <c r="T32" s="1" t="str">
        <f>IFERROR(RANK(S32,$S$20:$S$32,1),"")</f>
        <v/>
      </c>
      <c r="U32" s="1" t="str">
        <f>IF(E32="","",IF(N32=FALSE,E32,""))</f>
        <v/>
      </c>
      <c r="AB32" s="1">
        <f>IF(AB30&lt;&gt;AD32,AD32,AD31)</f>
        <v>0</v>
      </c>
      <c r="AC32" s="1" t="str">
        <f>IF(AD32="","",VLOOKUP(AD32,'LISTES JOUEURS'!$B$44:$D$584,2,0))</f>
        <v>0</v>
      </c>
      <c r="AD32" s="149">
        <f>IF($T$19=$C$33,AK32,IF($T$19&gt;6,AJ32,IF($T$19&lt;4,"","")))</f>
        <v>0</v>
      </c>
      <c r="AF32" s="3" t="str">
        <f>IFERROR(VLOOKUP(AE32,$T$20:$U$32,2,0),"")</f>
        <v/>
      </c>
      <c r="AH32" s="3" t="str">
        <f>IFERROR(VLOOKUP(AG32,$T$20:$U$32,2,0),"")</f>
        <v/>
      </c>
      <c r="AI32" s="3">
        <v>9</v>
      </c>
      <c r="AJ32" s="3" t="str">
        <f>IFERROR(VLOOKUP(AI32,$T$20:$U$32,2,0),"")</f>
        <v/>
      </c>
      <c r="AK32" s="3">
        <f>E32</f>
        <v>0</v>
      </c>
      <c r="AL32" s="3">
        <f>C32</f>
        <v>0</v>
      </c>
    </row>
    <row r="33" spans="2:18" ht="18.75" customHeight="1" x14ac:dyDescent="0.25">
      <c r="C33" s="152">
        <f>COUNT(C20:C32)</f>
        <v>0</v>
      </c>
      <c r="D33" s="152"/>
    </row>
    <row r="34" spans="2:18" ht="6" customHeight="1" x14ac:dyDescent="0.25">
      <c r="B34" s="125"/>
      <c r="C34" s="133"/>
      <c r="D34" s="133"/>
      <c r="E34" s="126"/>
      <c r="F34" s="126"/>
      <c r="G34" s="126"/>
      <c r="H34" s="126"/>
    </row>
    <row r="35" spans="2:18" ht="18.75" customHeight="1" thickBot="1" x14ac:dyDescent="0.3">
      <c r="E35" s="3" t="s">
        <v>306</v>
      </c>
      <c r="F35" s="126"/>
      <c r="G35" s="126"/>
      <c r="H35" s="126"/>
    </row>
    <row r="36" spans="2:18" ht="18.75" customHeight="1" x14ac:dyDescent="0.25">
      <c r="B36" s="122" t="s">
        <v>305</v>
      </c>
      <c r="C36" s="152">
        <f>COUNTBLANK(E36:E40)</f>
        <v>5</v>
      </c>
      <c r="D36" s="152"/>
      <c r="E36" s="176" t="str">
        <f>IF(R36="","",R36)</f>
        <v/>
      </c>
      <c r="F36" s="126"/>
      <c r="G36" s="126"/>
      <c r="H36" s="126"/>
      <c r="P36" s="134">
        <v>1</v>
      </c>
      <c r="Q36" s="135"/>
      <c r="R36" s="136" t="str">
        <f>IFERROR(VLOOKUP(P36,$Q$20:$R$32,2,0),"")</f>
        <v/>
      </c>
    </row>
    <row r="37" spans="2:18" ht="18.75" customHeight="1" x14ac:dyDescent="0.25">
      <c r="E37" s="177" t="str">
        <f>IF(R37="","",R37)</f>
        <v/>
      </c>
      <c r="F37" s="126"/>
      <c r="G37" s="126"/>
      <c r="H37" s="126"/>
      <c r="P37" s="139">
        <v>2</v>
      </c>
      <c r="R37" s="138" t="str">
        <f t="shared" ref="R37:R40" si="7">IFERROR(VLOOKUP(P37,$Q$20:$R$32,2,0),"")</f>
        <v/>
      </c>
    </row>
    <row r="38" spans="2:18" ht="18.75" customHeight="1" x14ac:dyDescent="0.25">
      <c r="E38" s="177" t="str">
        <f>IF(R38="","",R38)</f>
        <v/>
      </c>
      <c r="F38" s="126"/>
      <c r="G38" s="126"/>
      <c r="H38" s="126"/>
      <c r="P38" s="139">
        <v>3</v>
      </c>
      <c r="R38" s="138" t="str">
        <f t="shared" si="7"/>
        <v/>
      </c>
    </row>
    <row r="39" spans="2:18" ht="18.75" customHeight="1" x14ac:dyDescent="0.25">
      <c r="E39" s="177" t="str">
        <f>IF(R39="","",R39)</f>
        <v/>
      </c>
      <c r="F39" s="126"/>
      <c r="G39" s="126"/>
      <c r="H39" s="126"/>
      <c r="P39" s="139">
        <v>4</v>
      </c>
      <c r="R39" s="138" t="str">
        <f t="shared" si="7"/>
        <v/>
      </c>
    </row>
    <row r="40" spans="2:18" ht="18.75" customHeight="1" thickBot="1" x14ac:dyDescent="0.3">
      <c r="E40" s="178" t="str">
        <f>IF(R40="","",R40)</f>
        <v/>
      </c>
      <c r="F40" s="122"/>
      <c r="G40" s="152">
        <f>SUM(G41:G41)</f>
        <v>0</v>
      </c>
      <c r="H40" s="126"/>
      <c r="P40" s="143">
        <v>5</v>
      </c>
      <c r="Q40" s="144"/>
      <c r="R40" s="142" t="str">
        <f t="shared" si="7"/>
        <v/>
      </c>
    </row>
    <row r="41" spans="2:18" ht="10.5" customHeight="1" x14ac:dyDescent="0.25">
      <c r="F41" s="46"/>
      <c r="G41" s="152">
        <f>IF(E36="",0,1)</f>
        <v>0</v>
      </c>
    </row>
  </sheetData>
  <sheetProtection selectLockedCells="1" pivotTables="0"/>
  <mergeCells count="6">
    <mergeCell ref="F17:G19"/>
    <mergeCell ref="K16:K18"/>
    <mergeCell ref="B2:K2"/>
    <mergeCell ref="E17:E18"/>
    <mergeCell ref="BA2:BJ2"/>
    <mergeCell ref="E4:E5"/>
  </mergeCells>
  <conditionalFormatting sqref="G20">
    <cfRule type="expression" dxfId="62" priority="10">
      <formula>$N$20=TRUE</formula>
    </cfRule>
  </conditionalFormatting>
  <conditionalFormatting sqref="G21">
    <cfRule type="expression" dxfId="61" priority="9">
      <formula>$N$21=TRUE</formula>
    </cfRule>
  </conditionalFormatting>
  <conditionalFormatting sqref="G22">
    <cfRule type="expression" dxfId="60" priority="8">
      <formula>$N$22=TRUE</formula>
    </cfRule>
  </conditionalFormatting>
  <conditionalFormatting sqref="G25">
    <cfRule type="expression" dxfId="59" priority="7">
      <formula>$N$25=TRUE</formula>
    </cfRule>
  </conditionalFormatting>
  <conditionalFormatting sqref="G26">
    <cfRule type="expression" dxfId="58" priority="6">
      <formula>$N$26=TRUE</formula>
    </cfRule>
  </conditionalFormatting>
  <conditionalFormatting sqref="G27">
    <cfRule type="expression" dxfId="57" priority="5">
      <formula>$N$27=TRUE</formula>
    </cfRule>
  </conditionalFormatting>
  <conditionalFormatting sqref="G30">
    <cfRule type="expression" dxfId="56" priority="4">
      <formula>$N$30=TRUE</formula>
    </cfRule>
  </conditionalFormatting>
  <conditionalFormatting sqref="G31">
    <cfRule type="expression" dxfId="55" priority="3">
      <formula>$N$31=TRUE</formula>
    </cfRule>
  </conditionalFormatting>
  <conditionalFormatting sqref="G32">
    <cfRule type="expression" dxfId="54" priority="2">
      <formula>$N$32=TRUE</formula>
    </cfRule>
  </conditionalFormatting>
  <conditionalFormatting sqref="K16:K32 J20:J22 J25:J27 J30:J32">
    <cfRule type="expression" dxfId="53" priority="1">
      <formula>$C$36=5</formula>
    </cfRule>
  </conditionalFormatting>
  <dataValidations count="4">
    <dataValidation type="list" allowBlank="1" showInputMessage="1" showErrorMessage="1" sqref="E7:F7" xr:uid="{00000000-0002-0000-0000-000000000000}">
      <formula1>listeClubs</formula1>
    </dataValidation>
    <dataValidation type="list" allowBlank="1" showInputMessage="1" showErrorMessage="1" sqref="F12 E10" xr:uid="{00000000-0002-0000-0000-000001000000}">
      <formula1>listeCategorie</formula1>
    </dataValidation>
    <dataValidation type="list" allowBlank="1" showInputMessage="1" showErrorMessage="1" sqref="G8" xr:uid="{00000000-0002-0000-0000-000002000000}">
      <formula1>$H$6:$H$8</formula1>
    </dataValidation>
    <dataValidation type="list" allowBlank="1" showInputMessage="1" showErrorMessage="1" sqref="E25:E27 E30:E32 E20:E22" xr:uid="{00000000-0002-0000-0000-000003000000}">
      <formula1>INDIRECT($E$10)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6</xdr:col>
                    <xdr:colOff>438150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9525</xdr:rowOff>
                  </from>
                  <to>
                    <xdr:col>6</xdr:col>
                    <xdr:colOff>438150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6</xdr:col>
                    <xdr:colOff>438150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9525</xdr:rowOff>
                  </from>
                  <to>
                    <xdr:col>6</xdr:col>
                    <xdr:colOff>428625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9525</xdr:rowOff>
                  </from>
                  <to>
                    <xdr:col>6</xdr:col>
                    <xdr:colOff>428625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9525</xdr:rowOff>
                  </from>
                  <to>
                    <xdr:col>6</xdr:col>
                    <xdr:colOff>428625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29</xdr:row>
                    <xdr:rowOff>9525</xdr:rowOff>
                  </from>
                  <to>
                    <xdr:col>6</xdr:col>
                    <xdr:colOff>438150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9525</xdr:rowOff>
                  </from>
                  <to>
                    <xdr:col>6</xdr:col>
                    <xdr:colOff>438150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9525</xdr:rowOff>
                  </from>
                  <to>
                    <xdr:col>6</xdr:col>
                    <xdr:colOff>438150</xdr:colOff>
                    <xdr:row>31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/>
  <dimension ref="A1:AS65"/>
  <sheetViews>
    <sheetView workbookViewId="0">
      <selection activeCell="R1" sqref="R1:R1048576"/>
    </sheetView>
  </sheetViews>
  <sheetFormatPr baseColWidth="10" defaultRowHeight="15" x14ac:dyDescent="0.25"/>
  <cols>
    <col min="1" max="1" width="2.140625" style="1" customWidth="1"/>
    <col min="2" max="2" width="21.28515625" style="1" bestFit="1" customWidth="1"/>
    <col min="3" max="4" width="3" style="1" bestFit="1" customWidth="1"/>
    <col min="5" max="5" width="2" style="1" bestFit="1" customWidth="1"/>
    <col min="6" max="6" width="5.7109375" style="1" customWidth="1"/>
    <col min="7" max="7" width="10.28515625" style="1" customWidth="1"/>
    <col min="8" max="8" width="2" style="1" bestFit="1" customWidth="1"/>
    <col min="9" max="9" width="16.140625" style="1" customWidth="1"/>
    <col min="10" max="12" width="3" style="1" bestFit="1" customWidth="1"/>
    <col min="13" max="13" width="5.85546875" style="1" customWidth="1"/>
    <col min="14" max="14" width="12" style="1" bestFit="1" customWidth="1"/>
    <col min="15" max="15" width="3" style="1" bestFit="1" customWidth="1"/>
    <col min="16" max="16" width="2.28515625" style="1" customWidth="1"/>
    <col min="17" max="17" width="21.28515625" style="1" bestFit="1" customWidth="1"/>
    <col min="18" max="19" width="3" style="1" bestFit="1" customWidth="1"/>
    <col min="20" max="20" width="2" style="1" bestFit="1" customWidth="1"/>
    <col min="21" max="21" width="4.5703125" style="1" bestFit="1" customWidth="1"/>
    <col min="22" max="22" width="7.5703125" style="1" bestFit="1" customWidth="1"/>
    <col min="23" max="23" width="11" style="1" bestFit="1" customWidth="1"/>
    <col min="24" max="24" width="15.5703125" style="1" customWidth="1"/>
    <col min="25" max="25" width="3" style="1" bestFit="1" customWidth="1"/>
    <col min="26" max="26" width="4" style="1" bestFit="1" customWidth="1"/>
    <col min="27" max="27" width="2" style="1" bestFit="1" customWidth="1"/>
    <col min="28" max="28" width="4.7109375" style="1" customWidth="1"/>
    <col min="29" max="29" width="7" style="1" customWidth="1"/>
    <col min="30" max="30" width="2" style="1" bestFit="1" customWidth="1"/>
    <col min="31" max="31" width="2.7109375" style="1" customWidth="1"/>
    <col min="32" max="32" width="21.28515625" style="1" bestFit="1" customWidth="1"/>
    <col min="33" max="33" width="3" style="1" bestFit="1" customWidth="1"/>
    <col min="34" max="34" width="4" style="1" bestFit="1" customWidth="1"/>
    <col min="35" max="35" width="2" style="1" bestFit="1" customWidth="1"/>
    <col min="36" max="36" width="4.5703125" style="1" bestFit="1" customWidth="1"/>
    <col min="37" max="37" width="7.5703125" style="1" customWidth="1"/>
    <col min="38" max="38" width="2" style="1" bestFit="1" customWidth="1"/>
    <col min="39" max="39" width="15.85546875" style="1" customWidth="1"/>
    <col min="40" max="41" width="3" style="1" bestFit="1" customWidth="1"/>
    <col min="42" max="42" width="2" style="1" bestFit="1" customWidth="1"/>
    <col min="43" max="43" width="4.5703125" style="1" bestFit="1" customWidth="1"/>
    <col min="44" max="44" width="6.85546875" style="1" customWidth="1"/>
    <col min="45" max="45" width="2" style="1" bestFit="1" customWidth="1"/>
    <col min="46" max="16384" width="11.42578125" style="1"/>
  </cols>
  <sheetData>
    <row r="1" spans="2:45" ht="15.75" thickBot="1" x14ac:dyDescent="0.3">
      <c r="J1" s="1">
        <v>2</v>
      </c>
      <c r="K1" s="1">
        <v>3</v>
      </c>
      <c r="L1" s="1">
        <v>4</v>
      </c>
      <c r="M1" s="1">
        <v>5</v>
      </c>
      <c r="N1" s="1">
        <v>6</v>
      </c>
      <c r="O1" s="1">
        <v>7</v>
      </c>
      <c r="Y1" s="1">
        <v>2</v>
      </c>
      <c r="Z1" s="1">
        <v>3</v>
      </c>
      <c r="AA1" s="1">
        <v>4</v>
      </c>
      <c r="AB1" s="1">
        <v>5</v>
      </c>
      <c r="AC1" s="1">
        <v>6</v>
      </c>
      <c r="AD1" s="1">
        <v>7</v>
      </c>
      <c r="AN1" s="1">
        <v>2</v>
      </c>
      <c r="AO1" s="1">
        <v>3</v>
      </c>
      <c r="AP1" s="1">
        <v>4</v>
      </c>
      <c r="AQ1" s="1">
        <v>5</v>
      </c>
      <c r="AR1" s="1">
        <v>6</v>
      </c>
      <c r="AS1" s="1">
        <v>7</v>
      </c>
    </row>
    <row r="2" spans="2:45" x14ac:dyDescent="0.25">
      <c r="B2" s="14" t="e">
        <f>'Calc Feuille de résultats'!C6</f>
        <v>#N/A</v>
      </c>
      <c r="C2" s="15">
        <f>'Calc Feuille de résultats'!D6</f>
        <v>0</v>
      </c>
      <c r="D2" s="15">
        <f>'Calc Feuille de résultats'!E6</f>
        <v>0</v>
      </c>
      <c r="E2" s="15">
        <f>'Calc Feuille de résultats'!F6</f>
        <v>0</v>
      </c>
      <c r="F2" s="23" t="e">
        <f>'Calc Feuille de résultats'!G6</f>
        <v>#DIV/0!</v>
      </c>
      <c r="G2" s="23" t="str">
        <f>IFERROR('Calc Feuille de résultats'!H6,"")</f>
        <v/>
      </c>
      <c r="H2" s="16">
        <f>'Calc Feuille de résultats'!I6</f>
        <v>2</v>
      </c>
      <c r="I2" s="25" t="e">
        <f>B2</f>
        <v>#N/A</v>
      </c>
      <c r="J2" s="1">
        <f t="shared" ref="J2:M2" si="0">C2</f>
        <v>0</v>
      </c>
      <c r="K2" s="1">
        <f t="shared" si="0"/>
        <v>0</v>
      </c>
      <c r="L2" s="1">
        <f t="shared" si="0"/>
        <v>0</v>
      </c>
      <c r="M2" s="22" t="e">
        <f t="shared" si="0"/>
        <v>#DIV/0!</v>
      </c>
      <c r="N2" s="22" t="str">
        <f>G2</f>
        <v/>
      </c>
      <c r="O2" s="1">
        <f>IF(L2=0,0,H2)</f>
        <v>0</v>
      </c>
      <c r="Q2" s="14" t="e">
        <f t="shared" ref="Q2:Q13" si="1">B8</f>
        <v>#N/A</v>
      </c>
      <c r="R2" s="15">
        <f t="shared" ref="R2:R13" si="2">C8</f>
        <v>0</v>
      </c>
      <c r="S2" s="15">
        <f t="shared" ref="S2:S13" si="3">D8</f>
        <v>0</v>
      </c>
      <c r="T2" s="15">
        <f t="shared" ref="T2:T13" si="4">E8</f>
        <v>0</v>
      </c>
      <c r="U2" s="23" t="e">
        <f t="shared" ref="U2:U13" si="5">F8</f>
        <v>#DIV/0!</v>
      </c>
      <c r="V2" s="23" t="str">
        <f t="shared" ref="V2:V13" si="6">G8</f>
        <v/>
      </c>
      <c r="W2" s="16">
        <f t="shared" ref="W2:W13" si="7">H8</f>
        <v>2</v>
      </c>
      <c r="X2" s="25" t="e">
        <f>Q2</f>
        <v>#N/A</v>
      </c>
      <c r="Y2" s="1">
        <f t="shared" ref="Y2" si="8">R2</f>
        <v>0</v>
      </c>
      <c r="Z2" s="1">
        <f t="shared" ref="Z2" si="9">S2</f>
        <v>0</v>
      </c>
      <c r="AA2" s="1">
        <f t="shared" ref="AA2" si="10">T2</f>
        <v>0</v>
      </c>
      <c r="AB2" s="22" t="e">
        <f t="shared" ref="AB2" si="11">U2</f>
        <v>#DIV/0!</v>
      </c>
      <c r="AC2" s="22" t="str">
        <f t="shared" ref="AC2" si="12">V2</f>
        <v/>
      </c>
      <c r="AD2" s="1">
        <f>IF(AA2=0,0,W2)</f>
        <v>0</v>
      </c>
      <c r="AF2" s="14" t="e">
        <f t="shared" ref="AF2:AF13" si="13">Q8</f>
        <v>#N/A</v>
      </c>
      <c r="AG2" s="15">
        <f t="shared" ref="AG2:AG13" si="14">R8</f>
        <v>0</v>
      </c>
      <c r="AH2" s="15">
        <f t="shared" ref="AH2:AH13" si="15">S8</f>
        <v>0</v>
      </c>
      <c r="AI2" s="15">
        <f t="shared" ref="AI2:AI13" si="16">T8</f>
        <v>0</v>
      </c>
      <c r="AJ2" s="23" t="str">
        <f t="shared" ref="AJ2:AJ13" si="17">U8</f>
        <v/>
      </c>
      <c r="AK2" s="23" t="str">
        <f t="shared" ref="AK2:AK13" si="18">V8</f>
        <v/>
      </c>
      <c r="AL2" s="16">
        <f t="shared" ref="AL2:AL13" si="19">W8</f>
        <v>2</v>
      </c>
      <c r="AM2" s="25" t="e">
        <f>AF2</f>
        <v>#N/A</v>
      </c>
      <c r="AN2" s="1">
        <f>AG2</f>
        <v>0</v>
      </c>
      <c r="AO2" s="1">
        <f t="shared" ref="AO2:AR2" si="20">AH2</f>
        <v>0</v>
      </c>
      <c r="AP2" s="1">
        <f t="shared" si="20"/>
        <v>0</v>
      </c>
      <c r="AQ2" s="22" t="str">
        <f t="shared" si="20"/>
        <v/>
      </c>
      <c r="AR2" s="22" t="str">
        <f t="shared" si="20"/>
        <v/>
      </c>
      <c r="AS2" s="1">
        <f>IF(AP2=0,0,AL2)</f>
        <v>0</v>
      </c>
    </row>
    <row r="3" spans="2:45" x14ac:dyDescent="0.25">
      <c r="B3" s="17" t="e">
        <f>'Calc Feuille de résultats'!C7</f>
        <v>#N/A</v>
      </c>
      <c r="C3" s="1">
        <f>'Calc Feuille de résultats'!D7</f>
        <v>0</v>
      </c>
      <c r="D3" s="1">
        <f>'Calc Feuille de résultats'!E7</f>
        <v>0</v>
      </c>
      <c r="E3" s="1">
        <f>'Calc Feuille de résultats'!F7</f>
        <v>0</v>
      </c>
      <c r="F3" s="22" t="e">
        <f>'Calc Feuille de résultats'!G7</f>
        <v>#DIV/0!</v>
      </c>
      <c r="G3" s="22" t="str">
        <f>IFERROR('Calc Feuille de résultats'!H7,"")</f>
        <v/>
      </c>
      <c r="H3" s="18">
        <f>'Calc Feuille de résultats'!I7</f>
        <v>2</v>
      </c>
      <c r="J3" s="1" t="e">
        <f>VLOOKUP($I$2,$B$4:$H$19,J$1,0)</f>
        <v>#N/A</v>
      </c>
      <c r="K3" s="1" t="e">
        <f>VLOOKUP($I$2,$B$4:$H$19,K$1,0)</f>
        <v>#N/A</v>
      </c>
      <c r="L3" s="1" t="e">
        <f>VLOOKUP($I$2,$B$4:$H$19,L$1,0)</f>
        <v>#N/A</v>
      </c>
      <c r="M3" s="1" t="e">
        <f t="shared" ref="M3" si="21">VLOOKUP($I$2,$B$4:$H$19,M$1,0)</f>
        <v>#N/A</v>
      </c>
      <c r="N3" s="1" t="str">
        <f>IFERROR(VLOOKUP($I$2,$B$4:$H$19,N$1,0),"")</f>
        <v/>
      </c>
      <c r="O3" s="1" t="e">
        <f>IF(OR(K3=0,K3=""),0,VLOOKUP($I$2,$B$4:$H$19,O$1,0))</f>
        <v>#N/A</v>
      </c>
      <c r="Q3" s="17" t="e">
        <f t="shared" si="1"/>
        <v>#N/A</v>
      </c>
      <c r="R3" s="1">
        <f t="shared" si="2"/>
        <v>0</v>
      </c>
      <c r="S3" s="1">
        <f t="shared" si="3"/>
        <v>0</v>
      </c>
      <c r="T3" s="1">
        <f t="shared" si="4"/>
        <v>0</v>
      </c>
      <c r="U3" s="22" t="e">
        <f t="shared" si="5"/>
        <v>#DIV/0!</v>
      </c>
      <c r="V3" s="22" t="str">
        <f t="shared" si="6"/>
        <v/>
      </c>
      <c r="W3" s="18">
        <f t="shared" si="7"/>
        <v>2</v>
      </c>
      <c r="Y3" s="1" t="e">
        <f>VLOOKUP($X$2,$Q$4:$W$19,Y$1,0)</f>
        <v>#N/A</v>
      </c>
      <c r="Z3" s="1" t="e">
        <f t="shared" ref="Z3:AB3" si="22">VLOOKUP($X$2,$Q$4:$W$19,Z$1,0)</f>
        <v>#N/A</v>
      </c>
      <c r="AA3" s="1" t="e">
        <f t="shared" si="22"/>
        <v>#N/A</v>
      </c>
      <c r="AB3" s="1" t="e">
        <f t="shared" si="22"/>
        <v>#N/A</v>
      </c>
      <c r="AC3" s="1" t="str">
        <f>IFERROR(VLOOKUP($X$2,$Q$4:$W$19,AC$1,0),"")</f>
        <v/>
      </c>
      <c r="AD3" s="1" t="e">
        <f>IF(OR(Z3=0,Z3=""),0,VLOOKUP($X$2,$Q$4:$W$19,AD$1,0))</f>
        <v>#N/A</v>
      </c>
      <c r="AF3" s="17" t="e">
        <f t="shared" si="13"/>
        <v>#N/A</v>
      </c>
      <c r="AG3" s="1">
        <f t="shared" si="14"/>
        <v>0</v>
      </c>
      <c r="AH3" s="1">
        <f t="shared" si="15"/>
        <v>0</v>
      </c>
      <c r="AI3" s="1">
        <f t="shared" si="16"/>
        <v>0</v>
      </c>
      <c r="AJ3" s="22" t="str">
        <f t="shared" si="17"/>
        <v/>
      </c>
      <c r="AK3" s="22" t="str">
        <f>V9</f>
        <v/>
      </c>
      <c r="AL3" s="18">
        <f t="shared" si="19"/>
        <v>2</v>
      </c>
      <c r="AN3" s="1" t="e">
        <f>VLOOKUP($AM$2,$AF$4:$AL$19,AN$1,0)</f>
        <v>#N/A</v>
      </c>
      <c r="AO3" s="1" t="e">
        <f t="shared" ref="AO3:AQ3" si="23">VLOOKUP($AM$2,$AF$4:$AL$19,AO$1,0)</f>
        <v>#N/A</v>
      </c>
      <c r="AP3" s="1" t="e">
        <f t="shared" si="23"/>
        <v>#N/A</v>
      </c>
      <c r="AQ3" s="1" t="e">
        <f t="shared" si="23"/>
        <v>#N/A</v>
      </c>
      <c r="AR3" s="1" t="str">
        <f>IFERROR(VLOOKUP($AM$2,$AF$4:$AL$19,AR$1,0),"")</f>
        <v/>
      </c>
      <c r="AS3" s="1" t="e">
        <f>IF(OR(AO3=0,AO3=""),0,VLOOKUP($AM$2,$AF$4:$AL$19,AS$1,0))</f>
        <v>#N/A</v>
      </c>
    </row>
    <row r="4" spans="2:45" x14ac:dyDescent="0.25">
      <c r="B4" s="17" t="e">
        <f>'Calc Feuille de résultats'!C15</f>
        <v>#N/A</v>
      </c>
      <c r="C4" s="1">
        <f>'Calc Feuille de résultats'!D15</f>
        <v>0</v>
      </c>
      <c r="D4" s="1">
        <f>'Calc Feuille de résultats'!E15</f>
        <v>0</v>
      </c>
      <c r="E4" s="1">
        <f>'Calc Feuille de résultats'!F15</f>
        <v>0</v>
      </c>
      <c r="F4" s="22" t="str">
        <f>'Calc Feuille de résultats'!G15</f>
        <v/>
      </c>
      <c r="G4" s="22" t="str">
        <f>IFERROR('Calc Feuille de résultats'!H15,"")</f>
        <v/>
      </c>
      <c r="H4" s="18">
        <f>'Calc Feuille de résultats'!I15</f>
        <v>2</v>
      </c>
      <c r="O4" s="1" t="e">
        <f>IF(O2+O3=6,1,0)</f>
        <v>#N/A</v>
      </c>
      <c r="Q4" s="17" t="e">
        <f t="shared" si="1"/>
        <v>#N/A</v>
      </c>
      <c r="R4" s="1">
        <f t="shared" si="2"/>
        <v>0</v>
      </c>
      <c r="S4" s="1">
        <f t="shared" si="3"/>
        <v>0</v>
      </c>
      <c r="T4" s="1">
        <f t="shared" si="4"/>
        <v>0</v>
      </c>
      <c r="U4" s="22" t="str">
        <f t="shared" si="5"/>
        <v/>
      </c>
      <c r="V4" s="22" t="str">
        <f t="shared" si="6"/>
        <v/>
      </c>
      <c r="W4" s="18">
        <f t="shared" si="7"/>
        <v>2</v>
      </c>
      <c r="AD4" s="1" t="e">
        <f>IF(AD2+AD3=6,1,0)</f>
        <v>#N/A</v>
      </c>
      <c r="AF4" s="17" t="e">
        <f t="shared" si="13"/>
        <v>#N/A</v>
      </c>
      <c r="AG4" s="1">
        <f t="shared" si="14"/>
        <v>0</v>
      </c>
      <c r="AH4" s="1">
        <f t="shared" si="15"/>
        <v>0</v>
      </c>
      <c r="AI4" s="1">
        <f t="shared" si="16"/>
        <v>0</v>
      </c>
      <c r="AJ4" s="22" t="str">
        <f t="shared" si="17"/>
        <v/>
      </c>
      <c r="AK4" s="22" t="str">
        <f t="shared" si="18"/>
        <v/>
      </c>
      <c r="AL4" s="18">
        <f t="shared" si="19"/>
        <v>2</v>
      </c>
      <c r="AS4" s="1" t="e">
        <f>IF(AS2+AS3=6,1,0)</f>
        <v>#N/A</v>
      </c>
    </row>
    <row r="5" spans="2:45" x14ac:dyDescent="0.25">
      <c r="B5" s="17" t="e">
        <f>'Calc Feuille de résultats'!C16</f>
        <v>#N/A</v>
      </c>
      <c r="C5" s="1">
        <f>'Calc Feuille de résultats'!D16</f>
        <v>0</v>
      </c>
      <c r="D5" s="1">
        <f>'Calc Feuille de résultats'!E16</f>
        <v>0</v>
      </c>
      <c r="E5" s="1">
        <f>'Calc Feuille de résultats'!F16</f>
        <v>0</v>
      </c>
      <c r="F5" s="22" t="str">
        <f>'Calc Feuille de résultats'!G16</f>
        <v/>
      </c>
      <c r="G5" s="22" t="str">
        <f>IFERROR('Calc Feuille de résultats'!H16,"")</f>
        <v/>
      </c>
      <c r="H5" s="18">
        <f>'Calc Feuille de résultats'!I16</f>
        <v>2</v>
      </c>
      <c r="I5" s="1" t="e">
        <f>I2</f>
        <v>#N/A</v>
      </c>
      <c r="J5" s="1" t="e">
        <f>SUM(J2:J3)</f>
        <v>#N/A</v>
      </c>
      <c r="K5" s="1" t="e">
        <f>SUM(K2:K3)</f>
        <v>#N/A</v>
      </c>
      <c r="L5" s="1" t="e">
        <f>MAX(L2:L3)</f>
        <v>#N/A</v>
      </c>
      <c r="M5" s="1" t="e">
        <f>J5/K5</f>
        <v>#N/A</v>
      </c>
      <c r="N5" s="22">
        <f>SUM(N2:N3)</f>
        <v>0</v>
      </c>
      <c r="O5" s="1" t="e">
        <f>SUM(O2:O4)</f>
        <v>#N/A</v>
      </c>
      <c r="Q5" s="17" t="e">
        <f t="shared" si="1"/>
        <v>#N/A</v>
      </c>
      <c r="R5" s="1">
        <f t="shared" si="2"/>
        <v>0</v>
      </c>
      <c r="S5" s="1">
        <f t="shared" si="3"/>
        <v>0</v>
      </c>
      <c r="T5" s="1">
        <f t="shared" si="4"/>
        <v>0</v>
      </c>
      <c r="U5" s="22" t="str">
        <f t="shared" si="5"/>
        <v/>
      </c>
      <c r="V5" s="22" t="str">
        <f t="shared" si="6"/>
        <v/>
      </c>
      <c r="W5" s="18">
        <f t="shared" si="7"/>
        <v>2</v>
      </c>
      <c r="X5" s="1" t="e">
        <f>X2</f>
        <v>#N/A</v>
      </c>
      <c r="Y5" s="1" t="e">
        <f>SUM(Y2:Y3)</f>
        <v>#N/A</v>
      </c>
      <c r="Z5" s="1" t="e">
        <f>SUM(Z2:Z3)</f>
        <v>#N/A</v>
      </c>
      <c r="AA5" s="1" t="e">
        <f>MAX(AA2:AA3)</f>
        <v>#N/A</v>
      </c>
      <c r="AB5" s="1" t="e">
        <f>Y5/Z5</f>
        <v>#N/A</v>
      </c>
      <c r="AC5" s="1">
        <f>SUM(AC2:AC3)</f>
        <v>0</v>
      </c>
      <c r="AD5" s="1" t="e">
        <f>SUM(AD2:AD4)</f>
        <v>#N/A</v>
      </c>
      <c r="AF5" s="17" t="e">
        <f t="shared" si="13"/>
        <v>#N/A</v>
      </c>
      <c r="AG5" s="1">
        <f t="shared" si="14"/>
        <v>0</v>
      </c>
      <c r="AH5" s="1">
        <f t="shared" si="15"/>
        <v>0</v>
      </c>
      <c r="AI5" s="1">
        <f t="shared" si="16"/>
        <v>0</v>
      </c>
      <c r="AJ5" s="22" t="str">
        <f t="shared" si="17"/>
        <v/>
      </c>
      <c r="AK5" s="22" t="str">
        <f t="shared" si="18"/>
        <v/>
      </c>
      <c r="AL5" s="18">
        <f t="shared" si="19"/>
        <v>2</v>
      </c>
      <c r="AM5" s="1" t="e">
        <f>AM2</f>
        <v>#N/A</v>
      </c>
      <c r="AN5" s="1" t="e">
        <f>SUM(AN2:AN3)</f>
        <v>#N/A</v>
      </c>
      <c r="AO5" s="1" t="e">
        <f>SUM(AO2:AO3)</f>
        <v>#N/A</v>
      </c>
      <c r="AP5" s="1" t="e">
        <f>MAX(AP2:AP3)</f>
        <v>#N/A</v>
      </c>
      <c r="AQ5" s="1" t="e">
        <f>AN5/AO5</f>
        <v>#N/A</v>
      </c>
      <c r="AR5" s="1">
        <f>SUM(AR2:AR3)</f>
        <v>0</v>
      </c>
      <c r="AS5" s="1" t="e">
        <f>SUM(AS2:AS4)</f>
        <v>#N/A</v>
      </c>
    </row>
    <row r="6" spans="2:45" x14ac:dyDescent="0.25">
      <c r="B6" s="17" t="e">
        <f>'Calc Feuille de résultats'!C24</f>
        <v>#N/A</v>
      </c>
      <c r="C6" s="1">
        <f>'Calc Feuille de résultats'!D24</f>
        <v>0</v>
      </c>
      <c r="D6" s="1">
        <f>'Calc Feuille de résultats'!E24</f>
        <v>0</v>
      </c>
      <c r="E6" s="1">
        <f>'Calc Feuille de résultats'!F24</f>
        <v>0</v>
      </c>
      <c r="F6" s="1" t="str">
        <f>'Calc Feuille de résultats'!G24</f>
        <v/>
      </c>
      <c r="G6" s="22" t="str">
        <f>IFERROR('Calc Feuille de résultats'!H24,"")</f>
        <v/>
      </c>
      <c r="H6" s="18">
        <f>'Calc Feuille de résultats'!I24</f>
        <v>2</v>
      </c>
      <c r="M6" s="22"/>
      <c r="N6" s="22"/>
      <c r="Q6" s="17" t="e">
        <f t="shared" si="1"/>
        <v>#N/A</v>
      </c>
      <c r="R6" s="1">
        <f t="shared" si="2"/>
        <v>0</v>
      </c>
      <c r="S6" s="1">
        <f t="shared" si="3"/>
        <v>0</v>
      </c>
      <c r="T6" s="1">
        <f t="shared" si="4"/>
        <v>0</v>
      </c>
      <c r="U6" s="22" t="str">
        <f t="shared" si="5"/>
        <v/>
      </c>
      <c r="V6" s="22" t="str">
        <f t="shared" si="6"/>
        <v/>
      </c>
      <c r="W6" s="18">
        <f t="shared" si="7"/>
        <v>2</v>
      </c>
      <c r="AF6" s="17" t="e">
        <f t="shared" si="13"/>
        <v>#N/A</v>
      </c>
      <c r="AG6" s="1">
        <f t="shared" si="14"/>
        <v>0</v>
      </c>
      <c r="AH6" s="1">
        <f t="shared" si="15"/>
        <v>0</v>
      </c>
      <c r="AI6" s="1">
        <f t="shared" si="16"/>
        <v>0</v>
      </c>
      <c r="AJ6" s="22" t="str">
        <f t="shared" si="17"/>
        <v/>
      </c>
      <c r="AK6" s="22" t="str">
        <f t="shared" si="18"/>
        <v/>
      </c>
      <c r="AL6" s="18">
        <f t="shared" si="19"/>
        <v>2</v>
      </c>
      <c r="AQ6" s="22"/>
      <c r="AR6" s="22"/>
    </row>
    <row r="7" spans="2:45" ht="15.75" thickBot="1" x14ac:dyDescent="0.3">
      <c r="B7" s="17" t="e">
        <f>'Calc Feuille de résultats'!C25</f>
        <v>#N/A</v>
      </c>
      <c r="C7" s="1">
        <f>'Calc Feuille de résultats'!D25</f>
        <v>0</v>
      </c>
      <c r="D7" s="1">
        <f>'Calc Feuille de résultats'!E25</f>
        <v>0</v>
      </c>
      <c r="E7" s="1">
        <f>'Calc Feuille de résultats'!F25</f>
        <v>0</v>
      </c>
      <c r="F7" s="1" t="str">
        <f>'Calc Feuille de résultats'!G25</f>
        <v/>
      </c>
      <c r="G7" s="22" t="str">
        <f>IFERROR('Calc Feuille de résultats'!H25,"")</f>
        <v/>
      </c>
      <c r="H7" s="18">
        <f>'Calc Feuille de résultats'!I25</f>
        <v>2</v>
      </c>
      <c r="M7" s="22"/>
      <c r="N7" s="22"/>
      <c r="Q7" s="19" t="e">
        <f t="shared" si="1"/>
        <v>#N/A</v>
      </c>
      <c r="R7" s="20">
        <f t="shared" si="2"/>
        <v>0</v>
      </c>
      <c r="S7" s="20">
        <f t="shared" si="3"/>
        <v>0</v>
      </c>
      <c r="T7" s="20">
        <f t="shared" si="4"/>
        <v>0</v>
      </c>
      <c r="U7" s="24" t="str">
        <f t="shared" si="5"/>
        <v/>
      </c>
      <c r="V7" s="24" t="str">
        <f t="shared" si="6"/>
        <v/>
      </c>
      <c r="W7" s="21">
        <f t="shared" si="7"/>
        <v>2</v>
      </c>
      <c r="AF7" s="19" t="e">
        <f t="shared" si="13"/>
        <v>#N/A</v>
      </c>
      <c r="AG7" s="20">
        <f t="shared" si="14"/>
        <v>0</v>
      </c>
      <c r="AH7" s="20">
        <f t="shared" si="15"/>
        <v>0</v>
      </c>
      <c r="AI7" s="20">
        <f t="shared" si="16"/>
        <v>0</v>
      </c>
      <c r="AJ7" s="24" t="str">
        <f t="shared" si="17"/>
        <v/>
      </c>
      <c r="AK7" s="24" t="str">
        <f t="shared" si="18"/>
        <v/>
      </c>
      <c r="AL7" s="21">
        <f t="shared" si="19"/>
        <v>2</v>
      </c>
      <c r="AQ7" s="22"/>
      <c r="AR7" s="22"/>
    </row>
    <row r="8" spans="2:45" x14ac:dyDescent="0.25">
      <c r="B8" s="14" t="e">
        <f>'Calc Feuille de résultats'!L6</f>
        <v>#N/A</v>
      </c>
      <c r="C8" s="15">
        <f>'Calc Feuille de résultats'!M6</f>
        <v>0</v>
      </c>
      <c r="D8" s="15">
        <f>'Calc Feuille de résultats'!N6</f>
        <v>0</v>
      </c>
      <c r="E8" s="15">
        <f>'Calc Feuille de résultats'!O6</f>
        <v>0</v>
      </c>
      <c r="F8" s="23" t="e">
        <f>'Calc Feuille de résultats'!P6</f>
        <v>#DIV/0!</v>
      </c>
      <c r="G8" s="23" t="str">
        <f>IFERROR('Calc Feuille de résultats'!Q6,"")</f>
        <v/>
      </c>
      <c r="H8" s="16">
        <f>'Calc Feuille de résultats'!R6</f>
        <v>2</v>
      </c>
      <c r="I8" s="25" t="e">
        <f>B3</f>
        <v>#N/A</v>
      </c>
      <c r="J8" s="1">
        <f>C3</f>
        <v>0</v>
      </c>
      <c r="K8" s="1">
        <f t="shared" ref="K8:N8" si="24">D3</f>
        <v>0</v>
      </c>
      <c r="L8" s="1">
        <f t="shared" si="24"/>
        <v>0</v>
      </c>
      <c r="M8" s="1" t="e">
        <f t="shared" si="24"/>
        <v>#DIV/0!</v>
      </c>
      <c r="N8" s="1" t="str">
        <f t="shared" si="24"/>
        <v/>
      </c>
      <c r="O8" s="1">
        <f>IF(L8=0,0,H3)</f>
        <v>0</v>
      </c>
      <c r="Q8" s="14" t="e">
        <f t="shared" si="1"/>
        <v>#N/A</v>
      </c>
      <c r="R8" s="15">
        <f t="shared" si="2"/>
        <v>0</v>
      </c>
      <c r="S8" s="15">
        <f t="shared" si="3"/>
        <v>0</v>
      </c>
      <c r="T8" s="15">
        <f t="shared" si="4"/>
        <v>0</v>
      </c>
      <c r="U8" s="23" t="str">
        <f t="shared" si="5"/>
        <v/>
      </c>
      <c r="V8" s="23" t="str">
        <f t="shared" si="6"/>
        <v/>
      </c>
      <c r="W8" s="16">
        <f t="shared" si="7"/>
        <v>2</v>
      </c>
      <c r="X8" s="25" t="e">
        <f>Q3</f>
        <v>#N/A</v>
      </c>
      <c r="Y8" s="1">
        <f>R3</f>
        <v>0</v>
      </c>
      <c r="Z8" s="1">
        <f t="shared" ref="Z8:AC8" si="25">S3</f>
        <v>0</v>
      </c>
      <c r="AA8" s="1">
        <f t="shared" si="25"/>
        <v>0</v>
      </c>
      <c r="AB8" s="1" t="e">
        <f t="shared" si="25"/>
        <v>#DIV/0!</v>
      </c>
      <c r="AC8" s="1" t="str">
        <f t="shared" si="25"/>
        <v/>
      </c>
      <c r="AD8" s="1">
        <f>IF(AA8=0,0,W3)</f>
        <v>0</v>
      </c>
      <c r="AF8" s="14" t="e">
        <f t="shared" si="13"/>
        <v>#N/A</v>
      </c>
      <c r="AG8" s="15">
        <f t="shared" si="14"/>
        <v>0</v>
      </c>
      <c r="AH8" s="15">
        <f t="shared" si="15"/>
        <v>0</v>
      </c>
      <c r="AI8" s="15">
        <f t="shared" si="16"/>
        <v>0</v>
      </c>
      <c r="AJ8" s="23" t="e">
        <f t="shared" si="17"/>
        <v>#DIV/0!</v>
      </c>
      <c r="AK8" s="23" t="str">
        <f t="shared" si="18"/>
        <v/>
      </c>
      <c r="AL8" s="16">
        <f t="shared" si="19"/>
        <v>2</v>
      </c>
      <c r="AM8" s="25" t="e">
        <f>AF3</f>
        <v>#N/A</v>
      </c>
      <c r="AN8" s="1">
        <f>AG3</f>
        <v>0</v>
      </c>
      <c r="AO8" s="1">
        <f t="shared" ref="AO8:AR8" si="26">AH3</f>
        <v>0</v>
      </c>
      <c r="AP8" s="1">
        <f t="shared" si="26"/>
        <v>0</v>
      </c>
      <c r="AQ8" s="1" t="str">
        <f t="shared" si="26"/>
        <v/>
      </c>
      <c r="AR8" s="1" t="str">
        <f t="shared" si="26"/>
        <v/>
      </c>
      <c r="AS8" s="1">
        <f>IF(AP8=0,0,AL3)</f>
        <v>0</v>
      </c>
    </row>
    <row r="9" spans="2:45" x14ac:dyDescent="0.25">
      <c r="B9" s="17" t="e">
        <f>'Calc Feuille de résultats'!L7</f>
        <v>#N/A</v>
      </c>
      <c r="C9" s="1">
        <f>'Calc Feuille de résultats'!M7</f>
        <v>0</v>
      </c>
      <c r="D9" s="1">
        <f>'Calc Feuille de résultats'!N7</f>
        <v>0</v>
      </c>
      <c r="E9" s="1">
        <f>'Calc Feuille de résultats'!O7</f>
        <v>0</v>
      </c>
      <c r="F9" s="22" t="e">
        <f>'Calc Feuille de résultats'!P7</f>
        <v>#DIV/0!</v>
      </c>
      <c r="G9" s="22" t="str">
        <f>IFERROR('Calc Feuille de résultats'!Q7,"")</f>
        <v/>
      </c>
      <c r="H9" s="18">
        <f>'Calc Feuille de résultats'!R7</f>
        <v>2</v>
      </c>
      <c r="J9" s="1" t="e">
        <f>VLOOKUP($I$8,$B$4:$H$19,J$1,0)</f>
        <v>#N/A</v>
      </c>
      <c r="K9" s="1" t="e">
        <f t="shared" ref="K9:L9" si="27">VLOOKUP($I$8,$B$4:$H$19,K$1,0)</f>
        <v>#N/A</v>
      </c>
      <c r="L9" s="1" t="e">
        <f t="shared" si="27"/>
        <v>#N/A</v>
      </c>
      <c r="M9" s="1" t="e">
        <f>VLOOKUP($I$8,$B$4:$H$19,M$1,0)</f>
        <v>#N/A</v>
      </c>
      <c r="N9" s="1" t="str">
        <f>IFERROR(VLOOKUP($I$8,$B$4:$H$19,N$1,0),"")</f>
        <v/>
      </c>
      <c r="O9" s="1" t="e">
        <f>IF(OR(K9=0,K9=""),0,VLOOKUP($I$8,$B$4:$H$19,O$1,0))</f>
        <v>#N/A</v>
      </c>
      <c r="Q9" s="17" t="e">
        <f t="shared" si="1"/>
        <v>#N/A</v>
      </c>
      <c r="R9" s="1">
        <f t="shared" si="2"/>
        <v>0</v>
      </c>
      <c r="S9" s="1">
        <f t="shared" si="3"/>
        <v>0</v>
      </c>
      <c r="T9" s="1">
        <f t="shared" si="4"/>
        <v>0</v>
      </c>
      <c r="U9" s="22" t="str">
        <f t="shared" si="5"/>
        <v/>
      </c>
      <c r="V9" s="22" t="str">
        <f>G15</f>
        <v/>
      </c>
      <c r="W9" s="18">
        <f t="shared" si="7"/>
        <v>2</v>
      </c>
      <c r="Y9" s="1" t="e">
        <f>VLOOKUP($X$8,$Q$4:$W$19,Y$1,0)</f>
        <v>#N/A</v>
      </c>
      <c r="Z9" s="1" t="e">
        <f t="shared" ref="Z9:AB9" si="28">VLOOKUP($X$8,$Q$4:$W$19,Z$1,0)</f>
        <v>#N/A</v>
      </c>
      <c r="AA9" s="1" t="e">
        <f t="shared" si="28"/>
        <v>#N/A</v>
      </c>
      <c r="AB9" s="1" t="e">
        <f t="shared" si="28"/>
        <v>#N/A</v>
      </c>
      <c r="AC9" s="1" t="str">
        <f>IFERROR(VLOOKUP($X$8,$Q$4:$W$19,AC$1,0),"")</f>
        <v/>
      </c>
      <c r="AD9" s="1" t="e">
        <f>IF(OR(Z9=0,Z9=""),0,VLOOKUP($X$8,$Q$4:$W$19,AD$1,0))</f>
        <v>#N/A</v>
      </c>
      <c r="AF9" s="17" t="e">
        <f t="shared" si="13"/>
        <v>#N/A</v>
      </c>
      <c r="AG9" s="1">
        <f t="shared" si="14"/>
        <v>0</v>
      </c>
      <c r="AH9" s="1">
        <f t="shared" si="15"/>
        <v>0</v>
      </c>
      <c r="AI9" s="1">
        <f t="shared" si="16"/>
        <v>0</v>
      </c>
      <c r="AJ9" s="22" t="e">
        <f t="shared" si="17"/>
        <v>#DIV/0!</v>
      </c>
      <c r="AK9" s="22" t="str">
        <f t="shared" si="18"/>
        <v/>
      </c>
      <c r="AL9" s="18">
        <f t="shared" si="19"/>
        <v>2</v>
      </c>
      <c r="AN9" s="1" t="e">
        <f>VLOOKUP($AM$8,$AF$4:$AL$19,AN$1,0)</f>
        <v>#N/A</v>
      </c>
      <c r="AO9" s="1" t="e">
        <f t="shared" ref="AO9:AP9" si="29">VLOOKUP($AM$8,$AF$4:$AL$19,AO$1,0)</f>
        <v>#N/A</v>
      </c>
      <c r="AP9" s="1" t="e">
        <f t="shared" si="29"/>
        <v>#N/A</v>
      </c>
      <c r="AQ9" s="1" t="e">
        <f>VLOOKUP($AM$8,$AF$4:$AL$19,AQ$1,0)</f>
        <v>#N/A</v>
      </c>
      <c r="AR9" s="1" t="str">
        <f>IFERROR(VLOOKUP($AM$2,$AF$4:$AL$19,AR$1,0),"")</f>
        <v/>
      </c>
      <c r="AS9" s="1" t="e">
        <f>IF(OR(AO9=0,AO9=""),0,VLOOKUP($AM$8,$AF$4:$AL$19,AS$1,0))</f>
        <v>#N/A</v>
      </c>
    </row>
    <row r="10" spans="2:45" x14ac:dyDescent="0.25">
      <c r="B10" s="17" t="e">
        <f>'Calc Feuille de résultats'!L15</f>
        <v>#N/A</v>
      </c>
      <c r="C10" s="1">
        <f>'Calc Feuille de résultats'!M15</f>
        <v>0</v>
      </c>
      <c r="D10" s="1">
        <f>'Calc Feuille de résultats'!N15</f>
        <v>0</v>
      </c>
      <c r="E10" s="1">
        <f>'Calc Feuille de résultats'!O15</f>
        <v>0</v>
      </c>
      <c r="F10" s="22" t="str">
        <f>'Calc Feuille de résultats'!P15</f>
        <v/>
      </c>
      <c r="G10" s="22" t="str">
        <f>IFERROR('Calc Feuille de résultats'!Q15,"")</f>
        <v/>
      </c>
      <c r="H10" s="18">
        <f>'Calc Feuille de résultats'!R15</f>
        <v>2</v>
      </c>
      <c r="O10" s="1" t="e">
        <f>IF(O8+O9=6,1,0)</f>
        <v>#N/A</v>
      </c>
      <c r="Q10" s="17" t="e">
        <f t="shared" si="1"/>
        <v>#N/A</v>
      </c>
      <c r="R10" s="1">
        <f t="shared" si="2"/>
        <v>0</v>
      </c>
      <c r="S10" s="1">
        <f t="shared" si="3"/>
        <v>0</v>
      </c>
      <c r="T10" s="1">
        <f t="shared" si="4"/>
        <v>0</v>
      </c>
      <c r="U10" s="22" t="str">
        <f t="shared" si="5"/>
        <v/>
      </c>
      <c r="V10" s="22" t="str">
        <f t="shared" si="6"/>
        <v/>
      </c>
      <c r="W10" s="18">
        <f t="shared" si="7"/>
        <v>2</v>
      </c>
      <c r="AD10" s="1" t="e">
        <f>IF(AD8+AD9=6,1,0)</f>
        <v>#N/A</v>
      </c>
      <c r="AF10" s="17" t="e">
        <f t="shared" si="13"/>
        <v>#N/A</v>
      </c>
      <c r="AG10" s="1">
        <f t="shared" si="14"/>
        <v>0</v>
      </c>
      <c r="AH10" s="1">
        <f t="shared" si="15"/>
        <v>0</v>
      </c>
      <c r="AI10" s="1">
        <f t="shared" si="16"/>
        <v>0</v>
      </c>
      <c r="AJ10" s="22" t="str">
        <f t="shared" si="17"/>
        <v/>
      </c>
      <c r="AK10" s="22" t="str">
        <f t="shared" si="18"/>
        <v/>
      </c>
      <c r="AL10" s="18">
        <f t="shared" si="19"/>
        <v>2</v>
      </c>
      <c r="AS10" s="1" t="e">
        <f>IF(AS8+AS9=6,1,0)</f>
        <v>#N/A</v>
      </c>
    </row>
    <row r="11" spans="2:45" x14ac:dyDescent="0.25">
      <c r="B11" s="17" t="e">
        <f>'Calc Feuille de résultats'!L16</f>
        <v>#N/A</v>
      </c>
      <c r="C11" s="1">
        <f>'Calc Feuille de résultats'!M16</f>
        <v>0</v>
      </c>
      <c r="D11" s="1">
        <f>'Calc Feuille de résultats'!N16</f>
        <v>0</v>
      </c>
      <c r="E11" s="1">
        <f>'Calc Feuille de résultats'!O16</f>
        <v>0</v>
      </c>
      <c r="F11" s="22" t="str">
        <f>'Calc Feuille de résultats'!P16</f>
        <v/>
      </c>
      <c r="G11" s="22" t="str">
        <f>IFERROR('Calc Feuille de résultats'!Q16,"")</f>
        <v/>
      </c>
      <c r="H11" s="18">
        <f>'Calc Feuille de résultats'!R16</f>
        <v>2</v>
      </c>
      <c r="I11" s="1" t="e">
        <f>I8</f>
        <v>#N/A</v>
      </c>
      <c r="J11" s="1" t="e">
        <f>SUM(J8:J9)</f>
        <v>#N/A</v>
      </c>
      <c r="K11" s="1" t="e">
        <f>SUM(K8:K9)</f>
        <v>#N/A</v>
      </c>
      <c r="L11" s="1" t="e">
        <f>MAX(L8:L9)</f>
        <v>#N/A</v>
      </c>
      <c r="M11" s="1" t="e">
        <f>J11/K11</f>
        <v>#N/A</v>
      </c>
      <c r="N11" s="1">
        <f>SUM(N8:N9)</f>
        <v>0</v>
      </c>
      <c r="O11" s="1" t="e">
        <f>SUM(O8:O10)</f>
        <v>#N/A</v>
      </c>
      <c r="Q11" s="17" t="e">
        <f t="shared" si="1"/>
        <v>#N/A</v>
      </c>
      <c r="R11" s="1">
        <f t="shared" si="2"/>
        <v>0</v>
      </c>
      <c r="S11" s="1">
        <f t="shared" si="3"/>
        <v>0</v>
      </c>
      <c r="T11" s="1">
        <f t="shared" si="4"/>
        <v>0</v>
      </c>
      <c r="U11" s="22" t="str">
        <f t="shared" si="5"/>
        <v/>
      </c>
      <c r="V11" s="22" t="str">
        <f t="shared" si="6"/>
        <v/>
      </c>
      <c r="W11" s="18">
        <f t="shared" si="7"/>
        <v>2</v>
      </c>
      <c r="X11" s="1" t="e">
        <f>X8</f>
        <v>#N/A</v>
      </c>
      <c r="Y11" s="1" t="e">
        <f>SUM(Y8:Y9)</f>
        <v>#N/A</v>
      </c>
      <c r="Z11" s="1" t="e">
        <f>SUM(Z8:Z9)</f>
        <v>#N/A</v>
      </c>
      <c r="AA11" s="1" t="e">
        <f>MAX(AA8:AA9)</f>
        <v>#N/A</v>
      </c>
      <c r="AB11" s="1" t="e">
        <f>Y11/Z11</f>
        <v>#N/A</v>
      </c>
      <c r="AC11" s="1">
        <f>SUM(AC8:AC9)</f>
        <v>0</v>
      </c>
      <c r="AD11" s="1" t="e">
        <f>SUM(AD8:AD10)</f>
        <v>#N/A</v>
      </c>
      <c r="AF11" s="17" t="e">
        <f t="shared" si="13"/>
        <v>#N/A</v>
      </c>
      <c r="AG11" s="1">
        <f t="shared" si="14"/>
        <v>0</v>
      </c>
      <c r="AH11" s="1">
        <f t="shared" si="15"/>
        <v>0</v>
      </c>
      <c r="AI11" s="1">
        <f t="shared" si="16"/>
        <v>0</v>
      </c>
      <c r="AJ11" s="22" t="str">
        <f t="shared" si="17"/>
        <v/>
      </c>
      <c r="AK11" s="22" t="str">
        <f t="shared" si="18"/>
        <v/>
      </c>
      <c r="AL11" s="18">
        <f t="shared" si="19"/>
        <v>2</v>
      </c>
      <c r="AM11" s="1" t="e">
        <f>AM8</f>
        <v>#N/A</v>
      </c>
      <c r="AN11" s="1" t="e">
        <f>SUM(AN8:AN9)</f>
        <v>#N/A</v>
      </c>
      <c r="AO11" s="1" t="e">
        <f>SUM(AO8:AO9)</f>
        <v>#N/A</v>
      </c>
      <c r="AP11" s="1" t="e">
        <f>MAX(AP8:AP9)</f>
        <v>#N/A</v>
      </c>
      <c r="AQ11" s="1" t="e">
        <f>AN11/AO11</f>
        <v>#N/A</v>
      </c>
      <c r="AR11" s="1">
        <f>SUM(AR8:AR9)</f>
        <v>0</v>
      </c>
      <c r="AS11" s="1" t="e">
        <f>SUM(AS8:AS10)</f>
        <v>#N/A</v>
      </c>
    </row>
    <row r="12" spans="2:45" x14ac:dyDescent="0.25">
      <c r="B12" s="17" t="e">
        <f>'Calc Feuille de résultats'!L24</f>
        <v>#N/A</v>
      </c>
      <c r="C12" s="1">
        <f>'Calc Feuille de résultats'!M24</f>
        <v>0</v>
      </c>
      <c r="D12" s="1">
        <f>'Calc Feuille de résultats'!N24</f>
        <v>0</v>
      </c>
      <c r="E12" s="1">
        <f>'Calc Feuille de résultats'!O24</f>
        <v>0</v>
      </c>
      <c r="F12" s="1" t="str">
        <f>'Calc Feuille de résultats'!P24</f>
        <v/>
      </c>
      <c r="G12" s="22" t="str">
        <f>IFERROR('Calc Feuille de résultats'!Q24,"")</f>
        <v/>
      </c>
      <c r="H12" s="18">
        <f>'Calc Feuille de résultats'!R24</f>
        <v>2</v>
      </c>
      <c r="M12" s="22"/>
      <c r="N12" s="22"/>
      <c r="Q12" s="17" t="e">
        <f t="shared" si="1"/>
        <v>#N/A</v>
      </c>
      <c r="R12" s="1">
        <f t="shared" si="2"/>
        <v>0</v>
      </c>
      <c r="S12" s="1">
        <f t="shared" si="3"/>
        <v>0</v>
      </c>
      <c r="T12" s="1">
        <f t="shared" si="4"/>
        <v>0</v>
      </c>
      <c r="U12" s="22" t="str">
        <f t="shared" si="5"/>
        <v/>
      </c>
      <c r="V12" s="22" t="str">
        <f t="shared" si="6"/>
        <v/>
      </c>
      <c r="W12" s="18">
        <f t="shared" si="7"/>
        <v>2</v>
      </c>
      <c r="AF12" s="17" t="e">
        <f t="shared" si="13"/>
        <v>#N/A</v>
      </c>
      <c r="AG12" s="1">
        <f t="shared" si="14"/>
        <v>0</v>
      </c>
      <c r="AH12" s="1">
        <f t="shared" si="15"/>
        <v>0</v>
      </c>
      <c r="AI12" s="1">
        <f t="shared" si="16"/>
        <v>0</v>
      </c>
      <c r="AJ12" s="22" t="str">
        <f t="shared" si="17"/>
        <v/>
      </c>
      <c r="AK12" s="22" t="str">
        <f t="shared" si="18"/>
        <v/>
      </c>
      <c r="AL12" s="18">
        <f t="shared" si="19"/>
        <v>2</v>
      </c>
      <c r="AQ12" s="22"/>
      <c r="AR12" s="22"/>
    </row>
    <row r="13" spans="2:45" ht="15.75" thickBot="1" x14ac:dyDescent="0.3">
      <c r="B13" s="19" t="e">
        <f>'Calc Feuille de résultats'!L25</f>
        <v>#N/A</v>
      </c>
      <c r="C13" s="20">
        <f>'Calc Feuille de résultats'!M25</f>
        <v>0</v>
      </c>
      <c r="D13" s="20">
        <f>'Calc Feuille de résultats'!N25</f>
        <v>0</v>
      </c>
      <c r="E13" s="20">
        <f>'Calc Feuille de résultats'!O25</f>
        <v>0</v>
      </c>
      <c r="F13" s="20" t="str">
        <f>'Calc Feuille de résultats'!P25</f>
        <v/>
      </c>
      <c r="G13" s="24" t="str">
        <f>IFERROR('Calc Feuille de résultats'!Q25,"")</f>
        <v/>
      </c>
      <c r="H13" s="21">
        <f>'Calc Feuille de résultats'!R25</f>
        <v>2</v>
      </c>
      <c r="M13" s="22"/>
      <c r="N13" s="22"/>
      <c r="Q13" s="19" t="e">
        <f t="shared" si="1"/>
        <v>#N/A</v>
      </c>
      <c r="R13" s="20">
        <f t="shared" si="2"/>
        <v>0</v>
      </c>
      <c r="S13" s="20">
        <f t="shared" si="3"/>
        <v>0</v>
      </c>
      <c r="T13" s="20">
        <f t="shared" si="4"/>
        <v>0</v>
      </c>
      <c r="U13" s="24" t="str">
        <f t="shared" si="5"/>
        <v/>
      </c>
      <c r="V13" s="24" t="str">
        <f t="shared" si="6"/>
        <v/>
      </c>
      <c r="W13" s="21">
        <f t="shared" si="7"/>
        <v>2</v>
      </c>
      <c r="AF13" s="19" t="e">
        <f t="shared" si="13"/>
        <v>#N/A</v>
      </c>
      <c r="AG13" s="20">
        <f t="shared" si="14"/>
        <v>0</v>
      </c>
      <c r="AH13" s="20">
        <f t="shared" si="15"/>
        <v>0</v>
      </c>
      <c r="AI13" s="20">
        <f t="shared" si="16"/>
        <v>0</v>
      </c>
      <c r="AJ13" s="24" t="str">
        <f t="shared" si="17"/>
        <v/>
      </c>
      <c r="AK13" s="24" t="str">
        <f t="shared" si="18"/>
        <v/>
      </c>
      <c r="AL13" s="21">
        <f t="shared" si="19"/>
        <v>2</v>
      </c>
      <c r="AQ13" s="22"/>
      <c r="AR13" s="22"/>
    </row>
    <row r="14" spans="2:45" x14ac:dyDescent="0.25">
      <c r="B14" s="17" t="e">
        <f>'Calc Feuille de résultats'!V6</f>
        <v>#N/A</v>
      </c>
      <c r="C14" s="1">
        <f>'Calc Feuille de résultats'!W6</f>
        <v>0</v>
      </c>
      <c r="D14" s="1">
        <f>'Calc Feuille de résultats'!X6</f>
        <v>0</v>
      </c>
      <c r="E14" s="1">
        <f>'Calc Feuille de résultats'!Y6</f>
        <v>0</v>
      </c>
      <c r="F14" s="22" t="str">
        <f>'Calc Feuille de résultats'!Z6</f>
        <v/>
      </c>
      <c r="G14" s="22" t="str">
        <f>IFERROR('Calc Feuille de résultats'!AA6,"")</f>
        <v/>
      </c>
      <c r="H14" s="18">
        <f>'Calc Feuille de résultats'!AB6</f>
        <v>2</v>
      </c>
      <c r="I14" s="25" t="e">
        <f>IF(OR(B4=B3,B4=B2),"",B4)</f>
        <v>#N/A</v>
      </c>
      <c r="J14" s="1" t="e">
        <f>IF($I$14="","",C4)</f>
        <v>#N/A</v>
      </c>
      <c r="K14" s="1" t="e">
        <f>IF($I$14="","",D4)</f>
        <v>#N/A</v>
      </c>
      <c r="L14" s="1" t="e">
        <f t="shared" ref="L14:M14" si="30">IF($I$14="","",E4)</f>
        <v>#N/A</v>
      </c>
      <c r="M14" s="1" t="e">
        <f t="shared" si="30"/>
        <v>#N/A</v>
      </c>
      <c r="N14" s="1" t="e">
        <f>IF($I$14="","",IFERROR(G4,""))</f>
        <v>#N/A</v>
      </c>
      <c r="O14" s="1" t="e">
        <f>IF(OR(K14=0,K14=""),0,VLOOKUP($I$14,$B$4:$H$19,O$1,0))</f>
        <v>#N/A</v>
      </c>
      <c r="Q14" s="14" t="e">
        <f t="shared" ref="Q14:W19" si="31">B2</f>
        <v>#N/A</v>
      </c>
      <c r="R14" s="15">
        <f t="shared" si="31"/>
        <v>0</v>
      </c>
      <c r="S14" s="15">
        <f t="shared" si="31"/>
        <v>0</v>
      </c>
      <c r="T14" s="15">
        <f t="shared" si="31"/>
        <v>0</v>
      </c>
      <c r="U14" s="15" t="e">
        <f t="shared" si="31"/>
        <v>#DIV/0!</v>
      </c>
      <c r="V14" s="15" t="str">
        <f t="shared" si="31"/>
        <v/>
      </c>
      <c r="W14" s="16">
        <f t="shared" si="31"/>
        <v>2</v>
      </c>
      <c r="X14" s="25" t="e">
        <f>IF(OR(Q4=Q3,Q4=Q2),"",Q4)</f>
        <v>#N/A</v>
      </c>
      <c r="Y14" s="1" t="e">
        <f>IF($X$14="","",R4)</f>
        <v>#N/A</v>
      </c>
      <c r="Z14" s="1" t="e">
        <f>IF($X$14="","",S4)</f>
        <v>#N/A</v>
      </c>
      <c r="AA14" s="1" t="e">
        <f t="shared" ref="AA14" si="32">IF($X$14="","",T4)</f>
        <v>#N/A</v>
      </c>
      <c r="AB14" s="1" t="e">
        <f>IF($X$14="","",U4)</f>
        <v>#N/A</v>
      </c>
      <c r="AC14" s="1" t="e">
        <f>IF($X$14="","",IFERROR(V4,""))</f>
        <v>#N/A</v>
      </c>
      <c r="AD14" s="1" t="e">
        <f>IF(OR(Z14=0,Z14=""),0,VLOOKUP($X$14,$Q$4:$W$19,AD$1,0))</f>
        <v>#N/A</v>
      </c>
      <c r="AF14" s="14" t="e">
        <f t="shared" ref="AF14:AL19" si="33">Q2</f>
        <v>#N/A</v>
      </c>
      <c r="AG14" s="15">
        <f t="shared" si="33"/>
        <v>0</v>
      </c>
      <c r="AH14" s="15">
        <f t="shared" si="33"/>
        <v>0</v>
      </c>
      <c r="AI14" s="15">
        <f t="shared" si="33"/>
        <v>0</v>
      </c>
      <c r="AJ14" s="23" t="e">
        <f t="shared" si="33"/>
        <v>#DIV/0!</v>
      </c>
      <c r="AK14" s="23" t="str">
        <f t="shared" si="33"/>
        <v/>
      </c>
      <c r="AL14" s="16">
        <f t="shared" si="33"/>
        <v>2</v>
      </c>
      <c r="AM14" s="25" t="e">
        <f>IF(OR(AF4=AF3,AF4=AF2),"",AF4)</f>
        <v>#N/A</v>
      </c>
      <c r="AN14" s="1" t="e">
        <f>IF($AM$14="","",AG4)</f>
        <v>#N/A</v>
      </c>
      <c r="AO14" s="1" t="e">
        <f t="shared" ref="AO14:AQ14" si="34">IF($AM$14="","",AH4)</f>
        <v>#N/A</v>
      </c>
      <c r="AP14" s="1" t="e">
        <f t="shared" si="34"/>
        <v>#N/A</v>
      </c>
      <c r="AQ14" s="1" t="e">
        <f t="shared" si="34"/>
        <v>#N/A</v>
      </c>
      <c r="AR14" s="1" t="e">
        <f>IF($AM$14="","",IFERROR(AK4,""))</f>
        <v>#N/A</v>
      </c>
      <c r="AS14" s="1" t="e">
        <f>IF(OR(AO14=0,AO14=""),0,VLOOKUP($AM$14,$AF$4:$AL$19,AS$1,0))</f>
        <v>#N/A</v>
      </c>
    </row>
    <row r="15" spans="2:45" x14ac:dyDescent="0.25">
      <c r="B15" s="17" t="e">
        <f>'Calc Feuille de résultats'!V7</f>
        <v>#N/A</v>
      </c>
      <c r="C15" s="1">
        <f>'Calc Feuille de résultats'!W7</f>
        <v>0</v>
      </c>
      <c r="D15" s="1">
        <f>'Calc Feuille de résultats'!X7</f>
        <v>0</v>
      </c>
      <c r="E15" s="1">
        <f>'Calc Feuille de résultats'!Y7</f>
        <v>0</v>
      </c>
      <c r="F15" s="22" t="str">
        <f>'Calc Feuille de résultats'!Z7</f>
        <v/>
      </c>
      <c r="G15" s="22" t="str">
        <f>IFERROR('Calc Feuille de résultats'!AA7,"")</f>
        <v/>
      </c>
      <c r="H15" s="18">
        <f>'Calc Feuille de résultats'!AB7</f>
        <v>2</v>
      </c>
      <c r="J15" s="1" t="e">
        <f>IF(J14="","",VLOOKUP($I$14,$B$5:$H$19,J$1,0))</f>
        <v>#N/A</v>
      </c>
      <c r="K15" s="1" t="e">
        <f t="shared" ref="K15:L15" si="35">IF(K14="","",VLOOKUP($I$14,$B$5:$H$19,K$1,0))</f>
        <v>#N/A</v>
      </c>
      <c r="L15" s="1" t="e">
        <f t="shared" si="35"/>
        <v>#N/A</v>
      </c>
      <c r="M15" s="1" t="e">
        <f>IF(M14="","",VLOOKUP($I$14,$B$5:$H$19,M$1,0))</f>
        <v>#N/A</v>
      </c>
      <c r="N15" s="1" t="e">
        <f>IF(N14="","",IFERROR(VLOOKUP($I$14,$B$5:$H$19,N$1,0),""))</f>
        <v>#N/A</v>
      </c>
      <c r="O15" s="1" t="e">
        <f>IF(OR(K15=0,K15=""),0,VLOOKUP($I$14,$B$5:$H$19,O$1,0))</f>
        <v>#N/A</v>
      </c>
      <c r="Q15" s="17" t="e">
        <f t="shared" si="31"/>
        <v>#N/A</v>
      </c>
      <c r="R15" s="1">
        <f t="shared" si="31"/>
        <v>0</v>
      </c>
      <c r="S15" s="1">
        <f t="shared" si="31"/>
        <v>0</v>
      </c>
      <c r="T15" s="1">
        <f t="shared" si="31"/>
        <v>0</v>
      </c>
      <c r="U15" s="1" t="e">
        <f t="shared" si="31"/>
        <v>#DIV/0!</v>
      </c>
      <c r="V15" s="1" t="str">
        <f t="shared" si="31"/>
        <v/>
      </c>
      <c r="W15" s="18">
        <f t="shared" si="31"/>
        <v>2</v>
      </c>
      <c r="Y15" s="1" t="e">
        <f>IF(Y14="","",VLOOKUP($X$14,$Q$5:$W$19,Y$1,0))</f>
        <v>#N/A</v>
      </c>
      <c r="Z15" s="1" t="e">
        <f t="shared" ref="Z15:AA15" si="36">IF(Z14="","",VLOOKUP($X$14,$Q$5:$W$19,Z$1,0))</f>
        <v>#N/A</v>
      </c>
      <c r="AA15" s="1" t="e">
        <f t="shared" si="36"/>
        <v>#N/A</v>
      </c>
      <c r="AB15" s="1" t="e">
        <f>IF(AB14="","",VLOOKUP($X$14,$Q$5:$W$19,AB$1,0))</f>
        <v>#N/A</v>
      </c>
      <c r="AC15" s="1" t="e">
        <f>IF(AC14="","",IFERROR(VLOOKUP($X$14,$Q$5:$W$19,AC$1,0),""))</f>
        <v>#N/A</v>
      </c>
      <c r="AD15" s="1" t="e">
        <f>IF(OR(Z15=0,Z15=""),0,VLOOKUP($X$14,$Q$5:$W$19,AD$1,0))</f>
        <v>#N/A</v>
      </c>
      <c r="AF15" s="17" t="e">
        <f t="shared" si="33"/>
        <v>#N/A</v>
      </c>
      <c r="AG15" s="1">
        <f t="shared" si="33"/>
        <v>0</v>
      </c>
      <c r="AH15" s="1">
        <f t="shared" si="33"/>
        <v>0</v>
      </c>
      <c r="AI15" s="1">
        <f t="shared" si="33"/>
        <v>0</v>
      </c>
      <c r="AJ15" s="22" t="e">
        <f t="shared" si="33"/>
        <v>#DIV/0!</v>
      </c>
      <c r="AK15" s="22" t="str">
        <f t="shared" si="33"/>
        <v/>
      </c>
      <c r="AL15" s="18">
        <f t="shared" si="33"/>
        <v>2</v>
      </c>
      <c r="AN15" s="1" t="e">
        <f>IF(AN14="","",VLOOKUP($AM$14,$AF$5:$AL$19,AN$1,0))</f>
        <v>#N/A</v>
      </c>
      <c r="AO15" s="1" t="e">
        <f t="shared" ref="AO15:AQ15" si="37">IF(AO14="","",VLOOKUP($AM$14,$AF$5:$AL$19,AO$1,0))</f>
        <v>#N/A</v>
      </c>
      <c r="AP15" s="1" t="e">
        <f t="shared" si="37"/>
        <v>#N/A</v>
      </c>
      <c r="AQ15" s="1" t="e">
        <f t="shared" si="37"/>
        <v>#N/A</v>
      </c>
      <c r="AR15" s="1" t="e">
        <f>IF(AR14="","",IFERROR(VLOOKUP($AM$14,$AF$5:$AL$19,AR$1,0),""))</f>
        <v>#N/A</v>
      </c>
      <c r="AS15" s="1" t="e">
        <f>IF(OR(AO15=0,AO15=""),0,VLOOKUP($AM$14,$AF$5:$AL$19,AS$1,0))</f>
        <v>#N/A</v>
      </c>
    </row>
    <row r="16" spans="2:45" x14ac:dyDescent="0.25">
      <c r="B16" s="17" t="e">
        <f>'Calc Feuille de résultats'!V15</f>
        <v>#N/A</v>
      </c>
      <c r="C16" s="1">
        <f>'Calc Feuille de résultats'!W15</f>
        <v>0</v>
      </c>
      <c r="D16" s="1">
        <f>'Calc Feuille de résultats'!X15</f>
        <v>0</v>
      </c>
      <c r="E16" s="1">
        <f>'Calc Feuille de résultats'!Y15</f>
        <v>0</v>
      </c>
      <c r="F16" s="22" t="str">
        <f>'Calc Feuille de résultats'!Z15</f>
        <v/>
      </c>
      <c r="G16" s="22" t="str">
        <f>IFERROR('Calc Feuille de résultats'!AA15,"")</f>
        <v/>
      </c>
      <c r="H16" s="18">
        <f>'Calc Feuille de résultats'!AB15</f>
        <v>2</v>
      </c>
      <c r="O16" s="1" t="e">
        <f>IF(I14="","",IF(O14+O15=6,1,0))</f>
        <v>#N/A</v>
      </c>
      <c r="Q16" s="17" t="e">
        <f t="shared" si="31"/>
        <v>#N/A</v>
      </c>
      <c r="R16" s="1">
        <f t="shared" si="31"/>
        <v>0</v>
      </c>
      <c r="S16" s="1">
        <f t="shared" si="31"/>
        <v>0</v>
      </c>
      <c r="T16" s="1">
        <f t="shared" si="31"/>
        <v>0</v>
      </c>
      <c r="U16" s="1" t="str">
        <f t="shared" si="31"/>
        <v/>
      </c>
      <c r="V16" s="1" t="str">
        <f t="shared" si="31"/>
        <v/>
      </c>
      <c r="W16" s="18">
        <f t="shared" si="31"/>
        <v>2</v>
      </c>
      <c r="AD16" s="1" t="e">
        <f>IF(X14="","",IF(AD14+AD15=6,1,0))</f>
        <v>#N/A</v>
      </c>
      <c r="AF16" s="17" t="e">
        <f t="shared" si="33"/>
        <v>#N/A</v>
      </c>
      <c r="AG16" s="1">
        <f t="shared" si="33"/>
        <v>0</v>
      </c>
      <c r="AH16" s="1">
        <f t="shared" si="33"/>
        <v>0</v>
      </c>
      <c r="AI16" s="1">
        <f t="shared" si="33"/>
        <v>0</v>
      </c>
      <c r="AJ16" s="22" t="str">
        <f t="shared" si="33"/>
        <v/>
      </c>
      <c r="AK16" s="22" t="str">
        <f t="shared" si="33"/>
        <v/>
      </c>
      <c r="AL16" s="18">
        <f t="shared" si="33"/>
        <v>2</v>
      </c>
      <c r="AS16" s="1" t="e">
        <f>IF(AM14="","",IF(AS14+AS15=6,1,0))</f>
        <v>#N/A</v>
      </c>
    </row>
    <row r="17" spans="2:45" x14ac:dyDescent="0.25">
      <c r="B17" s="17" t="e">
        <f>'Calc Feuille de résultats'!V16</f>
        <v>#N/A</v>
      </c>
      <c r="C17" s="1">
        <f>'Calc Feuille de résultats'!W16</f>
        <v>0</v>
      </c>
      <c r="D17" s="1">
        <f>'Calc Feuille de résultats'!X16</f>
        <v>0</v>
      </c>
      <c r="E17" s="1">
        <f>'Calc Feuille de résultats'!Y16</f>
        <v>0</v>
      </c>
      <c r="F17" s="22" t="str">
        <f>'Calc Feuille de résultats'!Z16</f>
        <v/>
      </c>
      <c r="G17" s="22" t="str">
        <f>IFERROR('Calc Feuille de résultats'!AA16,"")</f>
        <v/>
      </c>
      <c r="H17" s="18">
        <f>'Calc Feuille de résultats'!AB16</f>
        <v>2</v>
      </c>
      <c r="I17" s="1" t="e">
        <f>I14</f>
        <v>#N/A</v>
      </c>
      <c r="J17" s="1" t="e">
        <f>IF(I14="","",SUM(J14:J15))</f>
        <v>#N/A</v>
      </c>
      <c r="K17" s="1" t="e">
        <f>IF(I14="","",SUM(K14:K15))</f>
        <v>#N/A</v>
      </c>
      <c r="L17" s="1" t="e">
        <f>IF(I14="","",MAX(L14:L15))</f>
        <v>#N/A</v>
      </c>
      <c r="M17" s="1" t="e">
        <f>IF(J17="","",IF(OR(I14=0,K17=0),"",J17/K17))</f>
        <v>#N/A</v>
      </c>
      <c r="N17" s="1" t="e">
        <f>IF(I14="","",IF(N14="","",SUM(N14:N15)))</f>
        <v>#N/A</v>
      </c>
      <c r="O17" s="1" t="e">
        <f>IF(I14="","",SUM(O14:O16))</f>
        <v>#N/A</v>
      </c>
      <c r="Q17" s="17" t="e">
        <f t="shared" si="31"/>
        <v>#N/A</v>
      </c>
      <c r="R17" s="1">
        <f t="shared" si="31"/>
        <v>0</v>
      </c>
      <c r="S17" s="1">
        <f t="shared" si="31"/>
        <v>0</v>
      </c>
      <c r="T17" s="1">
        <f t="shared" si="31"/>
        <v>0</v>
      </c>
      <c r="U17" s="1" t="str">
        <f t="shared" si="31"/>
        <v/>
      </c>
      <c r="V17" s="1" t="str">
        <f t="shared" si="31"/>
        <v/>
      </c>
      <c r="W17" s="18">
        <f t="shared" si="31"/>
        <v>2</v>
      </c>
      <c r="X17" s="1" t="e">
        <f>X14</f>
        <v>#N/A</v>
      </c>
      <c r="Y17" s="1" t="e">
        <f>IF(X14="","",SUM(Y14:Y15))</f>
        <v>#N/A</v>
      </c>
      <c r="Z17" s="1" t="e">
        <f>IF(X14="","",SUM(Z14:Z15))</f>
        <v>#N/A</v>
      </c>
      <c r="AA17" s="1" t="e">
        <f>IF(X14="","",MAX(AA14:AA15))</f>
        <v>#N/A</v>
      </c>
      <c r="AB17" s="1" t="e">
        <f>IF(Y17="","",IF(OR(X14=0,Z17=0),"",Y17/Z17))</f>
        <v>#N/A</v>
      </c>
      <c r="AC17" s="1" t="e">
        <f>IF(X14="","",IF(AC14="","",SUM(AC14:AC15)))</f>
        <v>#N/A</v>
      </c>
      <c r="AD17" s="1" t="e">
        <f>IF(X14="","",SUM(AD14:AD16))</f>
        <v>#N/A</v>
      </c>
      <c r="AF17" s="17" t="e">
        <f t="shared" si="33"/>
        <v>#N/A</v>
      </c>
      <c r="AG17" s="1">
        <f t="shared" si="33"/>
        <v>0</v>
      </c>
      <c r="AH17" s="1">
        <f t="shared" si="33"/>
        <v>0</v>
      </c>
      <c r="AI17" s="1">
        <f t="shared" si="33"/>
        <v>0</v>
      </c>
      <c r="AJ17" s="22" t="str">
        <f t="shared" si="33"/>
        <v/>
      </c>
      <c r="AK17" s="22" t="str">
        <f t="shared" si="33"/>
        <v/>
      </c>
      <c r="AL17" s="18">
        <f t="shared" si="33"/>
        <v>2</v>
      </c>
      <c r="AM17" s="1" t="e">
        <f>AM14</f>
        <v>#N/A</v>
      </c>
      <c r="AN17" s="1" t="e">
        <f>IF(AM14="","",SUM(AN14:AN15))</f>
        <v>#N/A</v>
      </c>
      <c r="AO17" s="1" t="e">
        <f>IF(AM14="","",SUM(AO14:AO15))</f>
        <v>#N/A</v>
      </c>
      <c r="AP17" s="1" t="e">
        <f>IF(AM14="","",MAX(AP14:AP15))</f>
        <v>#N/A</v>
      </c>
      <c r="AQ17" s="1" t="e">
        <f>IF(AN17="","",IF(OR(AM14=0,AO17=0),"",AN17/AO17))</f>
        <v>#N/A</v>
      </c>
      <c r="AR17" s="1" t="e">
        <f>IF(AM14="","",IF(AR14="","",SUM(AR14:AR15)))</f>
        <v>#N/A</v>
      </c>
      <c r="AS17" s="1" t="e">
        <f>IF(AM14="","",SUM(AS14:AS16))</f>
        <v>#N/A</v>
      </c>
    </row>
    <row r="18" spans="2:45" x14ac:dyDescent="0.25">
      <c r="B18" s="17" t="e">
        <f>'Calc Feuille de résultats'!V24</f>
        <v>#N/A</v>
      </c>
      <c r="C18" s="1">
        <f>'Calc Feuille de résultats'!W24</f>
        <v>0</v>
      </c>
      <c r="D18" s="1">
        <f>'Calc Feuille de résultats'!X24</f>
        <v>0</v>
      </c>
      <c r="E18" s="1">
        <f>'Calc Feuille de résultats'!Y24</f>
        <v>0</v>
      </c>
      <c r="F18" s="22" t="str">
        <f>'Calc Feuille de résultats'!Z24</f>
        <v/>
      </c>
      <c r="G18" s="22" t="str">
        <f>IFERROR('Calc Feuille de résultats'!AA24,"")</f>
        <v/>
      </c>
      <c r="H18" s="18">
        <f>'Calc Feuille de résultats'!AB24</f>
        <v>2</v>
      </c>
      <c r="M18" s="22"/>
      <c r="N18" s="22"/>
      <c r="Q18" s="17" t="e">
        <f t="shared" si="31"/>
        <v>#N/A</v>
      </c>
      <c r="R18" s="1">
        <f t="shared" si="31"/>
        <v>0</v>
      </c>
      <c r="S18" s="1">
        <f t="shared" si="31"/>
        <v>0</v>
      </c>
      <c r="T18" s="1">
        <f t="shared" si="31"/>
        <v>0</v>
      </c>
      <c r="U18" s="1" t="str">
        <f t="shared" si="31"/>
        <v/>
      </c>
      <c r="V18" s="1" t="str">
        <f t="shared" si="31"/>
        <v/>
      </c>
      <c r="W18" s="18">
        <f t="shared" si="31"/>
        <v>2</v>
      </c>
      <c r="AF18" s="17" t="e">
        <f t="shared" si="33"/>
        <v>#N/A</v>
      </c>
      <c r="AG18" s="1">
        <f t="shared" si="33"/>
        <v>0</v>
      </c>
      <c r="AH18" s="1">
        <f t="shared" si="33"/>
        <v>0</v>
      </c>
      <c r="AI18" s="1">
        <f t="shared" si="33"/>
        <v>0</v>
      </c>
      <c r="AJ18" s="22" t="str">
        <f t="shared" si="33"/>
        <v/>
      </c>
      <c r="AK18" s="22" t="str">
        <f t="shared" si="33"/>
        <v/>
      </c>
      <c r="AL18" s="18">
        <f t="shared" si="33"/>
        <v>2</v>
      </c>
      <c r="AQ18" s="22"/>
      <c r="AR18" s="22"/>
    </row>
    <row r="19" spans="2:45" ht="15.75" thickBot="1" x14ac:dyDescent="0.3">
      <c r="B19" s="19" t="e">
        <f>'Calc Feuille de résultats'!V25</f>
        <v>#N/A</v>
      </c>
      <c r="C19" s="20">
        <f>'Calc Feuille de résultats'!W25</f>
        <v>0</v>
      </c>
      <c r="D19" s="20">
        <f>'Calc Feuille de résultats'!X25</f>
        <v>0</v>
      </c>
      <c r="E19" s="20">
        <f>'Calc Feuille de résultats'!Y25</f>
        <v>0</v>
      </c>
      <c r="F19" s="24" t="str">
        <f>'Calc Feuille de résultats'!Z25</f>
        <v/>
      </c>
      <c r="G19" s="24" t="str">
        <f>IFERROR('Calc Feuille de résultats'!AA25,"")</f>
        <v/>
      </c>
      <c r="H19" s="21">
        <f>'Calc Feuille de résultats'!AB25</f>
        <v>2</v>
      </c>
      <c r="M19" s="22"/>
      <c r="N19" s="22"/>
      <c r="Q19" s="19" t="e">
        <f t="shared" si="31"/>
        <v>#N/A</v>
      </c>
      <c r="R19" s="20">
        <f t="shared" si="31"/>
        <v>0</v>
      </c>
      <c r="S19" s="20">
        <f t="shared" si="31"/>
        <v>0</v>
      </c>
      <c r="T19" s="20">
        <f t="shared" si="31"/>
        <v>0</v>
      </c>
      <c r="U19" s="20" t="str">
        <f t="shared" si="31"/>
        <v/>
      </c>
      <c r="V19" s="20" t="str">
        <f t="shared" si="31"/>
        <v/>
      </c>
      <c r="W19" s="21">
        <f t="shared" si="31"/>
        <v>2</v>
      </c>
      <c r="AF19" s="19" t="e">
        <f t="shared" si="33"/>
        <v>#N/A</v>
      </c>
      <c r="AG19" s="20">
        <f t="shared" si="33"/>
        <v>0</v>
      </c>
      <c r="AH19" s="20">
        <f t="shared" si="33"/>
        <v>0</v>
      </c>
      <c r="AI19" s="20">
        <f t="shared" si="33"/>
        <v>0</v>
      </c>
      <c r="AJ19" s="24" t="str">
        <f t="shared" si="33"/>
        <v/>
      </c>
      <c r="AK19" s="24" t="str">
        <f t="shared" si="33"/>
        <v/>
      </c>
      <c r="AL19" s="21">
        <f t="shared" si="33"/>
        <v>2</v>
      </c>
      <c r="AQ19" s="22"/>
      <c r="AR19" s="22"/>
    </row>
    <row r="22" spans="2:45" ht="15.75" thickBot="1" x14ac:dyDescent="0.3">
      <c r="O22" s="27">
        <f>COUNTA(Q23:Q28)</f>
        <v>6</v>
      </c>
      <c r="P22" s="27">
        <f>COUNTBLANK(Q23:Q28)</f>
        <v>0</v>
      </c>
      <c r="AF22" s="27">
        <v>2</v>
      </c>
      <c r="AG22" s="27">
        <v>3</v>
      </c>
      <c r="AH22" s="27">
        <v>4</v>
      </c>
      <c r="AI22" s="27">
        <v>5</v>
      </c>
      <c r="AJ22" s="27">
        <v>6</v>
      </c>
      <c r="AK22" s="27">
        <v>7</v>
      </c>
    </row>
    <row r="23" spans="2:45" x14ac:dyDescent="0.25">
      <c r="B23" s="1" t="e">
        <f>I5</f>
        <v>#N/A</v>
      </c>
      <c r="C23" s="1" t="e">
        <f>VLOOKUP($B23,$B$49:$I57,C$46,0)</f>
        <v>#N/A</v>
      </c>
      <c r="D23" s="1" t="e">
        <f>VLOOKUP($B23,$B$49:$I57,D$46,0)</f>
        <v>#N/A</v>
      </c>
      <c r="E23" s="1" t="e">
        <f>VLOOKUP($B23,$B$49:$I57,E$46,0)</f>
        <v>#N/A</v>
      </c>
      <c r="F23" s="1" t="e">
        <f>VLOOKUP($B23,$B$49:$I57,F$46,0)</f>
        <v>#N/A</v>
      </c>
      <c r="G23" s="1" t="e">
        <f>VLOOKUP($B23,$B$49:$I57,G$46,0)</f>
        <v>#N/A</v>
      </c>
      <c r="H23" s="1" t="e">
        <f>VLOOKUP($B23,$B$49:$I57,H$46,0)</f>
        <v>#N/A</v>
      </c>
      <c r="I23" s="1" t="e">
        <f>VLOOKUP($B23,$B$49:$I57,I$46,0)</f>
        <v>#N/A</v>
      </c>
      <c r="J23" s="1" t="str">
        <f>'Calc Inscription Joueurs'!AB2</f>
        <v>Aucune</v>
      </c>
      <c r="P23" s="1" t="str">
        <f>IFERROR(RANK(I23,$I$23:$I$28,0),"")</f>
        <v/>
      </c>
      <c r="Q23" s="1" t="e">
        <f>B23</f>
        <v>#N/A</v>
      </c>
      <c r="R23" s="1" t="e">
        <f t="shared" ref="R23:U27" si="38">C23</f>
        <v>#N/A</v>
      </c>
      <c r="S23" s="1" t="e">
        <f t="shared" si="38"/>
        <v>#N/A</v>
      </c>
      <c r="T23" s="1" t="e">
        <f t="shared" si="38"/>
        <v>#N/A</v>
      </c>
      <c r="U23" s="1" t="e">
        <f t="shared" si="38"/>
        <v>#N/A</v>
      </c>
      <c r="V23" s="1" t="e">
        <f>H23</f>
        <v>#N/A</v>
      </c>
      <c r="W23" s="1" t="e">
        <f>I23</f>
        <v>#N/A</v>
      </c>
      <c r="AD23" s="27">
        <f>O22-P22</f>
        <v>6</v>
      </c>
      <c r="AE23" s="14">
        <v>1</v>
      </c>
      <c r="AF23" s="15" t="str">
        <f t="shared" ref="AF23:AF28" si="39">IFERROR(VLOOKUP($AE23,$P$23:$V$28,AF$22,0),"")</f>
        <v/>
      </c>
      <c r="AG23" s="15" t="str">
        <f t="shared" ref="AG23:AK23" si="40">IFERROR(VLOOKUP($AE23,$P$23:$V$27,AG$22,0),"")</f>
        <v/>
      </c>
      <c r="AH23" s="15" t="str">
        <f t="shared" si="40"/>
        <v/>
      </c>
      <c r="AI23" s="15" t="str">
        <f t="shared" si="40"/>
        <v/>
      </c>
      <c r="AJ23" s="15" t="str">
        <f t="shared" si="40"/>
        <v/>
      </c>
      <c r="AK23" s="16" t="str">
        <f t="shared" si="40"/>
        <v/>
      </c>
    </row>
    <row r="24" spans="2:45" x14ac:dyDescent="0.25">
      <c r="B24" s="1" t="e">
        <f>I11</f>
        <v>#N/A</v>
      </c>
      <c r="C24" s="1" t="e">
        <f>VLOOKUP($B24,$B$49:$I58,C$46,0)</f>
        <v>#N/A</v>
      </c>
      <c r="D24" s="1" t="e">
        <f>VLOOKUP($B24,$B$49:$I58,D$46,0)</f>
        <v>#N/A</v>
      </c>
      <c r="E24" s="1" t="e">
        <f>VLOOKUP($B24,$B$49:$I58,E$46,0)</f>
        <v>#N/A</v>
      </c>
      <c r="F24" s="1" t="e">
        <f>VLOOKUP($B24,$B$49:$I58,F$46,0)</f>
        <v>#N/A</v>
      </c>
      <c r="G24" s="1" t="e">
        <f>VLOOKUP($B24,$B$49:$I58,G$46,0)</f>
        <v>#N/A</v>
      </c>
      <c r="H24" s="1" t="e">
        <f>VLOOKUP($B24,$B$49:$I58,H$46,0)</f>
        <v>#N/A</v>
      </c>
      <c r="I24" s="1" t="e">
        <f>VLOOKUP($B24,$B$49:$I58,I$46,0)</f>
        <v>#N/A</v>
      </c>
      <c r="J24" s="32" t="s">
        <v>134</v>
      </c>
      <c r="P24" s="1" t="str">
        <f t="shared" ref="P24:P28" si="41">IFERROR(RANK(I24,$I$23:$I$28,0),"")</f>
        <v/>
      </c>
      <c r="Q24" s="1" t="e">
        <f t="shared" ref="Q24:Q28" si="42">B24</f>
        <v>#N/A</v>
      </c>
      <c r="R24" s="1" t="e">
        <f t="shared" si="38"/>
        <v>#N/A</v>
      </c>
      <c r="S24" s="1" t="e">
        <f t="shared" si="38"/>
        <v>#N/A</v>
      </c>
      <c r="T24" s="1" t="e">
        <f t="shared" si="38"/>
        <v>#N/A</v>
      </c>
      <c r="U24" s="1" t="e">
        <f t="shared" si="38"/>
        <v>#N/A</v>
      </c>
      <c r="V24" s="1" t="e">
        <f t="shared" ref="V24:V32" si="43">H24</f>
        <v>#N/A</v>
      </c>
      <c r="W24" s="1" t="e">
        <f t="shared" ref="W24:W32" si="44">I24</f>
        <v>#N/A</v>
      </c>
      <c r="AB24" s="1" t="str">
        <f>J24</f>
        <v>POULE JUMELE</v>
      </c>
      <c r="AE24" s="17">
        <v>2</v>
      </c>
      <c r="AF24" s="1" t="str">
        <f t="shared" si="39"/>
        <v/>
      </c>
      <c r="AG24" s="1" t="str">
        <f t="shared" ref="AG24:AK28" si="45">IFERROR(VLOOKUP($AE24,$P$23:$V$27,AG$22,0),"")</f>
        <v/>
      </c>
      <c r="AH24" s="1" t="str">
        <f t="shared" si="45"/>
        <v/>
      </c>
      <c r="AI24" s="1" t="str">
        <f t="shared" si="45"/>
        <v/>
      </c>
      <c r="AJ24" s="1" t="str">
        <f t="shared" si="45"/>
        <v/>
      </c>
      <c r="AK24" s="18" t="str">
        <f t="shared" si="45"/>
        <v/>
      </c>
    </row>
    <row r="25" spans="2:45" x14ac:dyDescent="0.25">
      <c r="B25" s="1" t="e">
        <f>I17</f>
        <v>#N/A</v>
      </c>
      <c r="C25" s="1" t="e">
        <f>VLOOKUP($B25,$B$49:$I58,C$46,0)</f>
        <v>#N/A</v>
      </c>
      <c r="D25" s="1" t="e">
        <f>VLOOKUP($B25,$B$49:$I58,D$46,0)</f>
        <v>#N/A</v>
      </c>
      <c r="E25" s="1" t="e">
        <f>VLOOKUP($B25,$B$49:$I58,E$46,0)</f>
        <v>#N/A</v>
      </c>
      <c r="F25" s="1" t="e">
        <f>VLOOKUP($B25,$B$49:$I58,F$46,0)</f>
        <v>#N/A</v>
      </c>
      <c r="G25" s="1" t="e">
        <f>VLOOKUP($B25,$B$49:$I58,G$46,0)</f>
        <v>#N/A</v>
      </c>
      <c r="H25" s="1" t="e">
        <f>VLOOKUP($B25,$B$49:$I58,H$46,0)</f>
        <v>#N/A</v>
      </c>
      <c r="I25" s="1" t="e">
        <f>VLOOKUP($B25,$B$49:$I58,I$46,0)</f>
        <v>#N/A</v>
      </c>
      <c r="K25" s="1" t="str">
        <f>'Calc Feuille de résultats'!B6</f>
        <v>POULE 1</v>
      </c>
      <c r="P25" s="1" t="str">
        <f t="shared" si="41"/>
        <v/>
      </c>
      <c r="Q25" s="1" t="e">
        <f>B25</f>
        <v>#N/A</v>
      </c>
      <c r="R25" s="1" t="e">
        <f t="shared" si="38"/>
        <v>#N/A</v>
      </c>
      <c r="S25" s="1" t="e">
        <f t="shared" si="38"/>
        <v>#N/A</v>
      </c>
      <c r="T25" s="1" t="e">
        <f t="shared" si="38"/>
        <v>#N/A</v>
      </c>
      <c r="U25" s="1" t="e">
        <f t="shared" si="38"/>
        <v>#N/A</v>
      </c>
      <c r="V25" s="1" t="e">
        <f t="shared" si="43"/>
        <v>#N/A</v>
      </c>
      <c r="W25" s="1" t="e">
        <f t="shared" si="44"/>
        <v>#N/A</v>
      </c>
      <c r="AB25" s="1" t="str">
        <f>K25</f>
        <v>POULE 1</v>
      </c>
      <c r="AE25" s="17">
        <f>IF(AD23&lt;3,"",3)</f>
        <v>3</v>
      </c>
      <c r="AF25" s="1" t="str">
        <f t="shared" si="39"/>
        <v/>
      </c>
      <c r="AG25" s="1" t="str">
        <f t="shared" si="45"/>
        <v/>
      </c>
      <c r="AH25" s="1" t="str">
        <f t="shared" si="45"/>
        <v/>
      </c>
      <c r="AI25" s="1" t="str">
        <f t="shared" si="45"/>
        <v/>
      </c>
      <c r="AJ25" s="1" t="str">
        <f t="shared" si="45"/>
        <v/>
      </c>
      <c r="AK25" s="18" t="str">
        <f t="shared" si="45"/>
        <v/>
      </c>
    </row>
    <row r="26" spans="2:45" x14ac:dyDescent="0.25">
      <c r="B26" s="1" t="e">
        <f>X5</f>
        <v>#N/A</v>
      </c>
      <c r="C26" s="1" t="e">
        <f>VLOOKUP($B26,$B$49:$I58,C$46,0)</f>
        <v>#N/A</v>
      </c>
      <c r="D26" s="1" t="e">
        <f>VLOOKUP($B26,$B$49:$I58,D$46,0)</f>
        <v>#N/A</v>
      </c>
      <c r="E26" s="1" t="e">
        <f>VLOOKUP($B26,$B$49:$I58,E$46,0)</f>
        <v>#N/A</v>
      </c>
      <c r="F26" s="1" t="e">
        <f>VLOOKUP($B26,$B$49:$I58,F$46,0)</f>
        <v>#N/A</v>
      </c>
      <c r="G26" s="1" t="e">
        <f>VLOOKUP($B26,$B$49:$I58,G$46,0)</f>
        <v>#N/A</v>
      </c>
      <c r="H26" s="1" t="e">
        <f>VLOOKUP($B26,$B$49:$I58,H$46,0)</f>
        <v>#N/A</v>
      </c>
      <c r="I26" s="1" t="e">
        <f>VLOOKUP($B26,$B$49:$I58,I$46,0)</f>
        <v>#N/A</v>
      </c>
      <c r="L26" s="1" t="str">
        <f>'Calc Feuille de résultats'!K6</f>
        <v>POULE 2</v>
      </c>
      <c r="P26" s="1" t="str">
        <f t="shared" si="41"/>
        <v/>
      </c>
      <c r="Q26" s="1" t="e">
        <f t="shared" si="42"/>
        <v>#N/A</v>
      </c>
      <c r="R26" s="1" t="e">
        <f t="shared" si="38"/>
        <v>#N/A</v>
      </c>
      <c r="S26" s="1" t="e">
        <f t="shared" si="38"/>
        <v>#N/A</v>
      </c>
      <c r="T26" s="1" t="e">
        <f t="shared" si="38"/>
        <v>#N/A</v>
      </c>
      <c r="U26" s="1" t="e">
        <f t="shared" si="38"/>
        <v>#N/A</v>
      </c>
      <c r="V26" s="1" t="e">
        <f t="shared" si="43"/>
        <v>#N/A</v>
      </c>
      <c r="W26" s="1" t="e">
        <f t="shared" si="44"/>
        <v>#N/A</v>
      </c>
      <c r="AB26" s="1" t="str">
        <f>L26</f>
        <v>POULE 2</v>
      </c>
      <c r="AE26" s="17">
        <f>IF(AD23&lt;4,"",4)</f>
        <v>4</v>
      </c>
      <c r="AF26" s="1" t="str">
        <f t="shared" si="39"/>
        <v/>
      </c>
      <c r="AG26" s="1" t="str">
        <f t="shared" si="45"/>
        <v/>
      </c>
      <c r="AH26" s="1" t="str">
        <f t="shared" si="45"/>
        <v/>
      </c>
      <c r="AI26" s="1" t="str">
        <f t="shared" si="45"/>
        <v/>
      </c>
      <c r="AJ26" s="1" t="str">
        <f t="shared" si="45"/>
        <v/>
      </c>
      <c r="AK26" s="18" t="str">
        <f t="shared" si="45"/>
        <v/>
      </c>
    </row>
    <row r="27" spans="2:45" x14ac:dyDescent="0.25">
      <c r="B27" s="1" t="e">
        <f>X11</f>
        <v>#N/A</v>
      </c>
      <c r="C27" s="1" t="e">
        <f>VLOOKUP($B27,$B$49:$I58,C$46,0)</f>
        <v>#N/A</v>
      </c>
      <c r="D27" s="1" t="e">
        <f>VLOOKUP($B27,$B$49:$I58,D$46,0)</f>
        <v>#N/A</v>
      </c>
      <c r="E27" s="1" t="e">
        <f>VLOOKUP($B27,$B$49:$I58,E$46,0)</f>
        <v>#N/A</v>
      </c>
      <c r="F27" s="1" t="e">
        <f>VLOOKUP($B27,$B$49:$I58,F$46,0)</f>
        <v>#N/A</v>
      </c>
      <c r="G27" s="1" t="e">
        <f>VLOOKUP($B27,$B$49:$I58,G$46,0)</f>
        <v>#N/A</v>
      </c>
      <c r="H27" s="1" t="e">
        <f>VLOOKUP($B27,$B$49:$I58,H$46,0)</f>
        <v>#N/A</v>
      </c>
      <c r="I27" s="1" t="e">
        <f>VLOOKUP($B27,$B$49:$I58,I$46,0)</f>
        <v>#N/A</v>
      </c>
      <c r="P27" s="1" t="str">
        <f t="shared" si="41"/>
        <v/>
      </c>
      <c r="Q27" s="1" t="e">
        <f t="shared" si="42"/>
        <v>#N/A</v>
      </c>
      <c r="R27" s="1" t="e">
        <f t="shared" si="38"/>
        <v>#N/A</v>
      </c>
      <c r="S27" s="1" t="e">
        <f t="shared" si="38"/>
        <v>#N/A</v>
      </c>
      <c r="T27" s="1" t="e">
        <f t="shared" si="38"/>
        <v>#N/A</v>
      </c>
      <c r="U27" s="1" t="e">
        <f t="shared" si="38"/>
        <v>#N/A</v>
      </c>
      <c r="V27" s="1" t="e">
        <f t="shared" si="43"/>
        <v>#N/A</v>
      </c>
      <c r="W27" s="1" t="e">
        <f t="shared" si="44"/>
        <v>#N/A</v>
      </c>
      <c r="AE27" s="17">
        <f>IF(AD23&lt;5,"",5)</f>
        <v>5</v>
      </c>
      <c r="AF27" s="1" t="str">
        <f t="shared" si="39"/>
        <v/>
      </c>
      <c r="AG27" s="1" t="str">
        <f t="shared" si="45"/>
        <v/>
      </c>
      <c r="AH27" s="1" t="str">
        <f t="shared" si="45"/>
        <v/>
      </c>
      <c r="AI27" s="1" t="str">
        <f t="shared" si="45"/>
        <v/>
      </c>
      <c r="AJ27" s="1" t="str">
        <f t="shared" si="45"/>
        <v/>
      </c>
      <c r="AK27" s="18" t="str">
        <f t="shared" si="45"/>
        <v/>
      </c>
    </row>
    <row r="28" spans="2:45" ht="15.75" thickBot="1" x14ac:dyDescent="0.3">
      <c r="B28" s="1" t="e">
        <f>X17</f>
        <v>#N/A</v>
      </c>
      <c r="C28" s="1" t="e">
        <f>VLOOKUP($B28,$B$49:$I58,C$46,0)</f>
        <v>#N/A</v>
      </c>
      <c r="D28" s="1" t="e">
        <f>VLOOKUP($B28,$B$49:$I58,D$46,0)</f>
        <v>#N/A</v>
      </c>
      <c r="E28" s="1" t="e">
        <f>VLOOKUP($B28,$B$49:$I58,E$46,0)</f>
        <v>#N/A</v>
      </c>
      <c r="F28" s="1" t="e">
        <f>VLOOKUP($B28,$B$49:$I58,F$46,0)</f>
        <v>#N/A</v>
      </c>
      <c r="G28" s="1" t="e">
        <f>VLOOKUP($B28,$B$49:$I58,G$46,0)</f>
        <v>#N/A</v>
      </c>
      <c r="H28" s="1" t="e">
        <f>VLOOKUP($B28,$B$49:$I58,H$46,0)</f>
        <v>#N/A</v>
      </c>
      <c r="I28" s="1" t="e">
        <f>VLOOKUP($B28,$B$49:$I58,I$46,0)</f>
        <v>#N/A</v>
      </c>
      <c r="P28" s="1" t="str">
        <f t="shared" si="41"/>
        <v/>
      </c>
      <c r="Q28" s="1" t="e">
        <f t="shared" si="42"/>
        <v>#N/A</v>
      </c>
      <c r="V28" s="1" t="e">
        <f t="shared" si="43"/>
        <v>#N/A</v>
      </c>
      <c r="W28" s="1" t="e">
        <f>I28</f>
        <v>#N/A</v>
      </c>
      <c r="AE28" s="19">
        <f>IF(AD23&lt;6,"",6)</f>
        <v>6</v>
      </c>
      <c r="AF28" s="20" t="str">
        <f t="shared" si="39"/>
        <v/>
      </c>
      <c r="AG28" s="20" t="str">
        <f t="shared" si="45"/>
        <v/>
      </c>
      <c r="AH28" s="20" t="str">
        <f t="shared" si="45"/>
        <v/>
      </c>
      <c r="AI28" s="20" t="str">
        <f t="shared" si="45"/>
        <v/>
      </c>
      <c r="AJ28" s="20" t="str">
        <f t="shared" si="45"/>
        <v/>
      </c>
      <c r="AK28" s="21" t="str">
        <f t="shared" si="45"/>
        <v/>
      </c>
    </row>
    <row r="29" spans="2:45" ht="15.75" thickBot="1" x14ac:dyDescent="0.3">
      <c r="O29" s="27">
        <f>COUNTA(Q30:Q32)</f>
        <v>3</v>
      </c>
      <c r="P29" s="27">
        <f>COUNTBLANK(Q30:Q32)</f>
        <v>0</v>
      </c>
      <c r="AF29" s="27">
        <v>2</v>
      </c>
      <c r="AG29" s="27">
        <v>3</v>
      </c>
      <c r="AH29" s="27">
        <v>4</v>
      </c>
      <c r="AI29" s="27">
        <v>5</v>
      </c>
      <c r="AJ29" s="27">
        <v>6</v>
      </c>
      <c r="AK29" s="27">
        <v>7</v>
      </c>
    </row>
    <row r="30" spans="2:45" x14ac:dyDescent="0.25">
      <c r="B30" s="1" t="e">
        <f>AM5</f>
        <v>#N/A</v>
      </c>
      <c r="C30" s="1" t="e">
        <f>VLOOKUP($B30,$B$49:$I58,C$46,0)</f>
        <v>#N/A</v>
      </c>
      <c r="D30" s="1" t="e">
        <f>VLOOKUP($B30,$B$49:$I58,D$46,0)</f>
        <v>#N/A</v>
      </c>
      <c r="E30" s="1" t="e">
        <f>VLOOKUP($B30,$B$49:$I58,E$46,0)</f>
        <v>#N/A</v>
      </c>
      <c r="F30" s="1" t="e">
        <f>VLOOKUP($B30,$B$49:$I58,F$46,0)</f>
        <v>#N/A</v>
      </c>
      <c r="G30" s="1" t="e">
        <f>VLOOKUP($B30,$B$49:$I58,G$46,0)</f>
        <v>#N/A</v>
      </c>
      <c r="H30" s="1" t="e">
        <f>VLOOKUP($B30,$B$49:$I58,H$46,0)</f>
        <v>#N/A</v>
      </c>
      <c r="I30" s="1" t="e">
        <f>VLOOKUP($B30,$B$49:$I58,I$46,0)</f>
        <v>#N/A</v>
      </c>
      <c r="P30" s="1" t="str">
        <f>IFERROR(RANK(I30,$I$30:$I$32,0),"")</f>
        <v/>
      </c>
      <c r="Q30" s="1" t="e">
        <f>B30</f>
        <v>#N/A</v>
      </c>
      <c r="R30" s="1" t="e">
        <f t="shared" ref="R30:U32" si="46">C30</f>
        <v>#N/A</v>
      </c>
      <c r="S30" s="1" t="e">
        <f t="shared" si="46"/>
        <v>#N/A</v>
      </c>
      <c r="T30" s="1" t="e">
        <f t="shared" si="46"/>
        <v>#N/A</v>
      </c>
      <c r="U30" s="1" t="e">
        <f t="shared" si="46"/>
        <v>#N/A</v>
      </c>
      <c r="V30" s="1" t="e">
        <f t="shared" si="43"/>
        <v>#N/A</v>
      </c>
      <c r="W30" s="1" t="e">
        <f t="shared" si="44"/>
        <v>#N/A</v>
      </c>
      <c r="AD30" s="27">
        <f>O29-P29</f>
        <v>3</v>
      </c>
      <c r="AE30" s="14">
        <v>1</v>
      </c>
      <c r="AF30" s="15" t="str">
        <f>IFERROR(VLOOKUP($AE30,$P$30:$V$32,AF$29,0),"")</f>
        <v/>
      </c>
      <c r="AG30" s="15" t="str">
        <f t="shared" ref="AG30:AK30" si="47">IFERROR(VLOOKUP($AE30,$P$30:$V$32,AG$29,0),"")</f>
        <v/>
      </c>
      <c r="AH30" s="15" t="str">
        <f t="shared" si="47"/>
        <v/>
      </c>
      <c r="AI30" s="15" t="str">
        <f t="shared" si="47"/>
        <v/>
      </c>
      <c r="AJ30" s="15" t="str">
        <f t="shared" si="47"/>
        <v/>
      </c>
      <c r="AK30" s="16" t="str">
        <f t="shared" si="47"/>
        <v/>
      </c>
    </row>
    <row r="31" spans="2:45" x14ac:dyDescent="0.25">
      <c r="B31" s="1" t="e">
        <f>AM11</f>
        <v>#N/A</v>
      </c>
      <c r="C31" s="1" t="e">
        <f>VLOOKUP($B31,$B$49:$I58,C$46,0)</f>
        <v>#N/A</v>
      </c>
      <c r="D31" s="1" t="e">
        <f>VLOOKUP($B31,$B$49:$I58,D$46,0)</f>
        <v>#N/A</v>
      </c>
      <c r="E31" s="1" t="e">
        <f>VLOOKUP($B31,$B$49:$I58,E$46,0)</f>
        <v>#N/A</v>
      </c>
      <c r="F31" s="1" t="e">
        <f>VLOOKUP($B31,$B$49:$I58,F$46,0)</f>
        <v>#N/A</v>
      </c>
      <c r="G31" s="1" t="e">
        <f>VLOOKUP($B31,$B$49:$I58,G$46,0)</f>
        <v>#N/A</v>
      </c>
      <c r="H31" s="1" t="e">
        <f>VLOOKUP($B31,$B$49:$I58,H$46,0)</f>
        <v>#N/A</v>
      </c>
      <c r="I31" s="1" t="e">
        <f>VLOOKUP($B31,$B$49:$I58,I$46,0)</f>
        <v>#N/A</v>
      </c>
      <c r="K31" s="1" t="str">
        <f>'Calc Feuille de résultats'!U6</f>
        <v>POULE 3</v>
      </c>
      <c r="P31" s="1" t="str">
        <f t="shared" ref="P31:P32" si="48">IFERROR(RANK(I31,$I$30:$I$32,0),"")</f>
        <v/>
      </c>
      <c r="Q31" s="1" t="e">
        <f t="shared" ref="Q31:Q32" si="49">B31</f>
        <v>#N/A</v>
      </c>
      <c r="R31" s="1" t="e">
        <f t="shared" si="46"/>
        <v>#N/A</v>
      </c>
      <c r="S31" s="1" t="e">
        <f t="shared" si="46"/>
        <v>#N/A</v>
      </c>
      <c r="T31" s="1" t="e">
        <f t="shared" si="46"/>
        <v>#N/A</v>
      </c>
      <c r="U31" s="1" t="e">
        <f t="shared" si="46"/>
        <v>#N/A</v>
      </c>
      <c r="V31" s="1" t="e">
        <f t="shared" si="43"/>
        <v>#N/A</v>
      </c>
      <c r="W31" s="1" t="e">
        <f t="shared" si="44"/>
        <v>#N/A</v>
      </c>
      <c r="AB31" s="1" t="str">
        <f>K31</f>
        <v>POULE 3</v>
      </c>
      <c r="AE31" s="17">
        <v>2</v>
      </c>
      <c r="AF31" s="1" t="str">
        <f t="shared" ref="AF31:AK32" si="50">IFERROR(VLOOKUP($AE31,$P$30:$V$32,AF$29,0),"")</f>
        <v/>
      </c>
      <c r="AG31" s="1" t="str">
        <f t="shared" si="50"/>
        <v/>
      </c>
      <c r="AH31" s="1" t="str">
        <f t="shared" si="50"/>
        <v/>
      </c>
      <c r="AI31" s="1" t="str">
        <f t="shared" si="50"/>
        <v/>
      </c>
      <c r="AJ31" s="1" t="str">
        <f t="shared" si="50"/>
        <v/>
      </c>
      <c r="AK31" s="18" t="str">
        <f t="shared" si="50"/>
        <v/>
      </c>
    </row>
    <row r="32" spans="2:45" ht="15.75" thickBot="1" x14ac:dyDescent="0.3">
      <c r="B32" s="1" t="e">
        <f>AM17</f>
        <v>#N/A</v>
      </c>
      <c r="C32" s="1" t="e">
        <f>VLOOKUP($B32,$B$49:$I58,C$46,0)</f>
        <v>#N/A</v>
      </c>
      <c r="D32" s="1" t="e">
        <f>VLOOKUP($B32,$B$49:$I58,D$46,0)</f>
        <v>#N/A</v>
      </c>
      <c r="E32" s="1" t="e">
        <f>VLOOKUP($B32,$B$49:$I58,E$46,0)</f>
        <v>#N/A</v>
      </c>
      <c r="F32" s="1" t="e">
        <f>VLOOKUP($B32,$B$49:$I58,F$46,0)</f>
        <v>#N/A</v>
      </c>
      <c r="G32" s="1" t="e">
        <f>VLOOKUP($B32,$B$49:$I58,G$46,0)</f>
        <v>#N/A</v>
      </c>
      <c r="H32" s="1" t="e">
        <f>VLOOKUP($B32,$B$49:$I58,H$46,0)</f>
        <v>#N/A</v>
      </c>
      <c r="I32" s="1" t="e">
        <f>VLOOKUP($B32,$B$49:$I58,I$46,0)</f>
        <v>#N/A</v>
      </c>
      <c r="P32" s="1" t="str">
        <f t="shared" si="48"/>
        <v/>
      </c>
      <c r="Q32" s="1" t="e">
        <f t="shared" si="49"/>
        <v>#N/A</v>
      </c>
      <c r="R32" s="1" t="e">
        <f t="shared" si="46"/>
        <v>#N/A</v>
      </c>
      <c r="S32" s="1" t="e">
        <f t="shared" si="46"/>
        <v>#N/A</v>
      </c>
      <c r="T32" s="1" t="e">
        <f t="shared" si="46"/>
        <v>#N/A</v>
      </c>
      <c r="U32" s="1" t="e">
        <f t="shared" si="46"/>
        <v>#N/A</v>
      </c>
      <c r="V32" s="1" t="e">
        <f t="shared" si="43"/>
        <v>#N/A</v>
      </c>
      <c r="W32" s="1" t="e">
        <f t="shared" si="44"/>
        <v>#N/A</v>
      </c>
      <c r="AE32" s="19">
        <f>IF(AD30&lt;3,"",3)</f>
        <v>3</v>
      </c>
      <c r="AF32" s="20" t="str">
        <f t="shared" si="50"/>
        <v/>
      </c>
      <c r="AG32" s="20" t="str">
        <f t="shared" si="50"/>
        <v/>
      </c>
      <c r="AH32" s="20" t="str">
        <f t="shared" si="50"/>
        <v/>
      </c>
      <c r="AI32" s="20" t="str">
        <f t="shared" si="50"/>
        <v/>
      </c>
      <c r="AJ32" s="20" t="str">
        <f t="shared" si="50"/>
        <v/>
      </c>
      <c r="AK32" s="21" t="str">
        <f t="shared" si="50"/>
        <v/>
      </c>
    </row>
    <row r="33" spans="2:37" ht="15.75" thickBot="1" x14ac:dyDescent="0.3">
      <c r="O33" s="27">
        <f>COUNTA(Q34:Q36)</f>
        <v>3</v>
      </c>
      <c r="P33" s="27">
        <f>COUNTBLANK(Q34:Q36)</f>
        <v>0</v>
      </c>
    </row>
    <row r="34" spans="2:37" x14ac:dyDescent="0.25">
      <c r="B34" s="1" t="e">
        <f>'Calc Inscription Joueurs'!I4</f>
        <v>#N/A</v>
      </c>
      <c r="C34" s="1" t="e">
        <f>VLOOKUP($B34,$B$49:$I62,C$46,0)</f>
        <v>#N/A</v>
      </c>
      <c r="D34" s="1" t="e">
        <f>VLOOKUP($B34,$B$49:$I62,D$46,0)</f>
        <v>#N/A</v>
      </c>
      <c r="E34" s="1" t="e">
        <f>VLOOKUP($B34,$B$49:$I62,E$46,0)</f>
        <v>#N/A</v>
      </c>
      <c r="F34" s="1" t="e">
        <f>VLOOKUP($B34,$B$49:$I62,F$46,0)</f>
        <v>#N/A</v>
      </c>
      <c r="G34" s="1" t="e">
        <f>VLOOKUP($B34,$B$49:$I62,G$46,0)</f>
        <v>#N/A</v>
      </c>
      <c r="H34" s="1" t="e">
        <f>VLOOKUP($B34,$B$49:$I62,H$46,0)</f>
        <v>#N/A</v>
      </c>
      <c r="I34" s="1" t="e">
        <f>VLOOKUP($B34,$B$49:$I62,I$46,0)</f>
        <v>#N/A</v>
      </c>
      <c r="P34" s="1" t="str">
        <f>IFERROR(RANK(I34,$I$34:$I$36,0),"")</f>
        <v/>
      </c>
      <c r="Q34" s="1" t="e">
        <f>B34</f>
        <v>#N/A</v>
      </c>
      <c r="R34" s="1" t="e">
        <f t="shared" ref="R34:U36" si="51">C34</f>
        <v>#N/A</v>
      </c>
      <c r="S34" s="1" t="e">
        <f t="shared" si="51"/>
        <v>#N/A</v>
      </c>
      <c r="T34" s="1" t="e">
        <f t="shared" si="51"/>
        <v>#N/A</v>
      </c>
      <c r="U34" s="1" t="e">
        <f t="shared" si="51"/>
        <v>#N/A</v>
      </c>
      <c r="V34" s="1" t="e">
        <f>H34</f>
        <v>#N/A</v>
      </c>
      <c r="W34" s="1" t="e">
        <f>I34</f>
        <v>#N/A</v>
      </c>
      <c r="AD34" s="27">
        <f>O33-P33</f>
        <v>3</v>
      </c>
      <c r="AE34" s="14">
        <v>1</v>
      </c>
      <c r="AF34" s="15" t="str">
        <f>IFERROR(VLOOKUP($AE34,$P$34:$V$36,AF$29,0),"")</f>
        <v/>
      </c>
      <c r="AG34" s="15" t="str">
        <f t="shared" ref="AG34:AK36" si="52">IFERROR(VLOOKUP($AE34,$P$34:$V$36,AG$29,0),"")</f>
        <v/>
      </c>
      <c r="AH34" s="15" t="str">
        <f t="shared" si="52"/>
        <v/>
      </c>
      <c r="AI34" s="15" t="str">
        <f t="shared" si="52"/>
        <v/>
      </c>
      <c r="AJ34" s="15" t="str">
        <f t="shared" si="52"/>
        <v/>
      </c>
      <c r="AK34" s="16" t="str">
        <f t="shared" si="52"/>
        <v/>
      </c>
    </row>
    <row r="35" spans="2:37" x14ac:dyDescent="0.25">
      <c r="B35" s="1" t="e">
        <f>'Calc Inscription Joueurs'!I5</f>
        <v>#N/A</v>
      </c>
      <c r="C35" s="1" t="e">
        <f>VLOOKUP($B35,$B$49:$I63,C$46,0)</f>
        <v>#N/A</v>
      </c>
      <c r="D35" s="1" t="e">
        <f>VLOOKUP($B35,$B$49:$I63,D$46,0)</f>
        <v>#N/A</v>
      </c>
      <c r="E35" s="1" t="e">
        <f>VLOOKUP($B35,$B$49:$I63,E$46,0)</f>
        <v>#N/A</v>
      </c>
      <c r="F35" s="1" t="e">
        <f>VLOOKUP($B35,$B$49:$I63,F$46,0)</f>
        <v>#N/A</v>
      </c>
      <c r="G35" s="1" t="e">
        <f>VLOOKUP($B35,$B$49:$I63,G$46,0)</f>
        <v>#N/A</v>
      </c>
      <c r="H35" s="1" t="e">
        <f>VLOOKUP($B35,$B$49:$I63,H$46,0)</f>
        <v>#N/A</v>
      </c>
      <c r="I35" s="1" t="e">
        <f>VLOOKUP($B35,$B$49:$I63,I$46,0)</f>
        <v>#N/A</v>
      </c>
      <c r="K35" s="1" t="str">
        <f>'Calc Inscription Joueurs'!I3</f>
        <v>POULE 1</v>
      </c>
      <c r="P35" s="1" t="str">
        <f t="shared" ref="P35:P36" si="53">IFERROR(RANK(I35,$I$34:$I$36,0),"")</f>
        <v/>
      </c>
      <c r="Q35" s="1" t="e">
        <f t="shared" ref="Q35:Q36" si="54">B35</f>
        <v>#N/A</v>
      </c>
      <c r="R35" s="1" t="e">
        <f t="shared" si="51"/>
        <v>#N/A</v>
      </c>
      <c r="S35" s="1" t="e">
        <f t="shared" si="51"/>
        <v>#N/A</v>
      </c>
      <c r="T35" s="1" t="e">
        <f t="shared" si="51"/>
        <v>#N/A</v>
      </c>
      <c r="U35" s="1" t="e">
        <f t="shared" si="51"/>
        <v>#N/A</v>
      </c>
      <c r="V35" s="1" t="e">
        <f t="shared" ref="V35:V44" si="55">H35</f>
        <v>#N/A</v>
      </c>
      <c r="W35" s="1" t="e">
        <f t="shared" ref="W35:W44" si="56">I35</f>
        <v>#N/A</v>
      </c>
      <c r="AB35" s="1" t="str">
        <f>K35</f>
        <v>POULE 1</v>
      </c>
      <c r="AE35" s="17">
        <v>2</v>
      </c>
      <c r="AF35" s="1" t="str">
        <f>IFERROR(VLOOKUP($AE35,$P$34:$V$36,AF$29,0),"")</f>
        <v/>
      </c>
      <c r="AG35" s="1" t="str">
        <f t="shared" si="52"/>
        <v/>
      </c>
      <c r="AH35" s="1" t="str">
        <f t="shared" si="52"/>
        <v/>
      </c>
      <c r="AI35" s="1" t="str">
        <f t="shared" si="52"/>
        <v/>
      </c>
      <c r="AJ35" s="1" t="str">
        <f t="shared" si="52"/>
        <v/>
      </c>
      <c r="AK35" s="18" t="str">
        <f t="shared" si="52"/>
        <v/>
      </c>
    </row>
    <row r="36" spans="2:37" ht="15.75" thickBot="1" x14ac:dyDescent="0.3">
      <c r="B36" s="1" t="e">
        <f>'Calc Inscription Joueurs'!I6</f>
        <v>#N/A</v>
      </c>
      <c r="C36" s="1" t="e">
        <f>VLOOKUP($B36,$B$49:$I64,C$46,0)</f>
        <v>#N/A</v>
      </c>
      <c r="D36" s="1" t="e">
        <f>VLOOKUP($B36,$B$49:$I64,D$46,0)</f>
        <v>#N/A</v>
      </c>
      <c r="E36" s="1" t="e">
        <f>VLOOKUP($B36,$B$49:$I64,E$46,0)</f>
        <v>#N/A</v>
      </c>
      <c r="F36" s="1" t="e">
        <f>VLOOKUP($B36,$B$49:$I64,F$46,0)</f>
        <v>#N/A</v>
      </c>
      <c r="G36" s="1" t="e">
        <f>VLOOKUP($B36,$B$49:$I64,G$46,0)</f>
        <v>#N/A</v>
      </c>
      <c r="H36" s="1" t="e">
        <f>VLOOKUP($B36,$B$49:$I64,H$46,0)</f>
        <v>#N/A</v>
      </c>
      <c r="I36" s="1" t="e">
        <f>VLOOKUP($B36,$B$49:$I64,I$46,0)</f>
        <v>#N/A</v>
      </c>
      <c r="P36" s="1" t="str">
        <f t="shared" si="53"/>
        <v/>
      </c>
      <c r="Q36" s="1" t="e">
        <f t="shared" si="54"/>
        <v>#N/A</v>
      </c>
      <c r="R36" s="1" t="e">
        <f t="shared" si="51"/>
        <v>#N/A</v>
      </c>
      <c r="S36" s="1" t="e">
        <f t="shared" si="51"/>
        <v>#N/A</v>
      </c>
      <c r="T36" s="1" t="e">
        <f t="shared" si="51"/>
        <v>#N/A</v>
      </c>
      <c r="U36" s="1" t="e">
        <f t="shared" si="51"/>
        <v>#N/A</v>
      </c>
      <c r="V36" s="1" t="e">
        <f t="shared" si="55"/>
        <v>#N/A</v>
      </c>
      <c r="W36" s="1" t="e">
        <f t="shared" si="56"/>
        <v>#N/A</v>
      </c>
      <c r="AE36" s="19">
        <f>IF(AD34&lt;3,"",3)</f>
        <v>3</v>
      </c>
      <c r="AF36" s="20" t="str">
        <f>IFERROR(VLOOKUP($AE36,$P$34:$V$36,AF$29,0),"")</f>
        <v/>
      </c>
      <c r="AG36" s="20" t="str">
        <f t="shared" si="52"/>
        <v/>
      </c>
      <c r="AH36" s="20" t="str">
        <f t="shared" si="52"/>
        <v/>
      </c>
      <c r="AI36" s="20" t="str">
        <f t="shared" si="52"/>
        <v/>
      </c>
      <c r="AJ36" s="20" t="str">
        <f t="shared" si="52"/>
        <v/>
      </c>
      <c r="AK36" s="21" t="str">
        <f t="shared" si="52"/>
        <v/>
      </c>
    </row>
    <row r="37" spans="2:37" ht="15.75" thickBot="1" x14ac:dyDescent="0.3">
      <c r="O37" s="27">
        <f>COUNTA(Q38:Q40)</f>
        <v>3</v>
      </c>
      <c r="P37" s="27">
        <f>COUNTBLANK(Q38:Q40)</f>
        <v>0</v>
      </c>
    </row>
    <row r="38" spans="2:37" x14ac:dyDescent="0.25">
      <c r="B38" s="1" t="e">
        <f>'Calc Inscription Joueurs'!J4</f>
        <v>#N/A</v>
      </c>
      <c r="C38" s="1" t="e">
        <f>VLOOKUP($B38,$B$49:$I66,C$46,0)</f>
        <v>#N/A</v>
      </c>
      <c r="D38" s="1" t="e">
        <f>VLOOKUP($B38,$B$49:$I66,D$46,0)</f>
        <v>#N/A</v>
      </c>
      <c r="E38" s="1" t="e">
        <f>VLOOKUP($B38,$B$49:$I66,E$46,0)</f>
        <v>#N/A</v>
      </c>
      <c r="F38" s="1" t="e">
        <f>VLOOKUP($B38,$B$49:$I66,F$46,0)</f>
        <v>#N/A</v>
      </c>
      <c r="G38" s="1" t="e">
        <f>VLOOKUP($B38,$B$49:$I66,G$46,0)</f>
        <v>#N/A</v>
      </c>
      <c r="H38" s="1" t="e">
        <f>VLOOKUP($B38,$B$49:$I66,H$46,0)</f>
        <v>#N/A</v>
      </c>
      <c r="I38" s="1" t="e">
        <f>VLOOKUP($B38,$B$49:$I66,I$46,0)</f>
        <v>#N/A</v>
      </c>
      <c r="P38" s="1" t="str">
        <f>IFERROR(RANK(I38,$I$38:$I$40,0),"")</f>
        <v/>
      </c>
      <c r="Q38" s="1" t="e">
        <f>B38</f>
        <v>#N/A</v>
      </c>
      <c r="R38" s="1" t="e">
        <f t="shared" ref="R38:U40" si="57">C38</f>
        <v>#N/A</v>
      </c>
      <c r="S38" s="1" t="e">
        <f t="shared" si="57"/>
        <v>#N/A</v>
      </c>
      <c r="T38" s="1" t="e">
        <f t="shared" si="57"/>
        <v>#N/A</v>
      </c>
      <c r="U38" s="1" t="e">
        <f t="shared" si="57"/>
        <v>#N/A</v>
      </c>
      <c r="V38" s="1" t="e">
        <f t="shared" si="55"/>
        <v>#N/A</v>
      </c>
      <c r="W38" s="1" t="e">
        <f t="shared" si="56"/>
        <v>#N/A</v>
      </c>
      <c r="AD38" s="27">
        <f>O37-P37</f>
        <v>3</v>
      </c>
      <c r="AE38" s="14">
        <v>1</v>
      </c>
      <c r="AF38" s="15" t="str">
        <f>IFERROR(VLOOKUP($AE38,$P$38:$V$40,AF$29,0),"")</f>
        <v/>
      </c>
      <c r="AG38" s="15" t="str">
        <f t="shared" ref="AG38:AK40" si="58">IFERROR(VLOOKUP($AE38,$P$38:$V$40,AG$29,0),"")</f>
        <v/>
      </c>
      <c r="AH38" s="15" t="str">
        <f t="shared" si="58"/>
        <v/>
      </c>
      <c r="AI38" s="15" t="str">
        <f t="shared" si="58"/>
        <v/>
      </c>
      <c r="AJ38" s="15" t="str">
        <f t="shared" si="58"/>
        <v/>
      </c>
      <c r="AK38" s="16" t="str">
        <f t="shared" si="58"/>
        <v/>
      </c>
    </row>
    <row r="39" spans="2:37" x14ac:dyDescent="0.25">
      <c r="B39" s="1" t="e">
        <f>'Calc Inscription Joueurs'!J5</f>
        <v>#N/A</v>
      </c>
      <c r="C39" s="1" t="e">
        <f>VLOOKUP($B39,$B$49:$I67,C$46,0)</f>
        <v>#N/A</v>
      </c>
      <c r="D39" s="1" t="e">
        <f>VLOOKUP($B39,$B$49:$I67,D$46,0)</f>
        <v>#N/A</v>
      </c>
      <c r="E39" s="1" t="e">
        <f>VLOOKUP($B39,$B$49:$I67,E$46,0)</f>
        <v>#N/A</v>
      </c>
      <c r="F39" s="1" t="e">
        <f>VLOOKUP($B39,$B$49:$I67,F$46,0)</f>
        <v>#N/A</v>
      </c>
      <c r="G39" s="1" t="e">
        <f>VLOOKUP($B39,$B$49:$I67,G$46,0)</f>
        <v>#N/A</v>
      </c>
      <c r="H39" s="1" t="e">
        <f>VLOOKUP($B39,$B$49:$I67,H$46,0)</f>
        <v>#N/A</v>
      </c>
      <c r="I39" s="1" t="e">
        <f>VLOOKUP($B39,$B$49:$I67,I$46,0)</f>
        <v>#N/A</v>
      </c>
      <c r="K39" s="1" t="str">
        <f>'Calc Inscription Joueurs'!J3</f>
        <v>POULE 2</v>
      </c>
      <c r="P39" s="1" t="str">
        <f t="shared" ref="P39:P40" si="59">IFERROR(RANK(I39,$I$38:$I$40,0),"")</f>
        <v/>
      </c>
      <c r="Q39" s="1" t="e">
        <f t="shared" ref="Q39:Q40" si="60">B39</f>
        <v>#N/A</v>
      </c>
      <c r="R39" s="1" t="e">
        <f t="shared" si="57"/>
        <v>#N/A</v>
      </c>
      <c r="S39" s="1" t="e">
        <f t="shared" si="57"/>
        <v>#N/A</v>
      </c>
      <c r="T39" s="1" t="e">
        <f t="shared" si="57"/>
        <v>#N/A</v>
      </c>
      <c r="U39" s="1" t="e">
        <f t="shared" si="57"/>
        <v>#N/A</v>
      </c>
      <c r="V39" s="1" t="e">
        <f t="shared" si="55"/>
        <v>#N/A</v>
      </c>
      <c r="W39" s="1" t="e">
        <f t="shared" si="56"/>
        <v>#N/A</v>
      </c>
      <c r="AB39" s="1" t="str">
        <f>K39</f>
        <v>POULE 2</v>
      </c>
      <c r="AE39" s="17">
        <v>2</v>
      </c>
      <c r="AF39" s="1" t="str">
        <f>IFERROR(VLOOKUP($AE39,$P$38:$V$40,AF$29,0),"")</f>
        <v/>
      </c>
      <c r="AG39" s="1" t="str">
        <f t="shared" si="58"/>
        <v/>
      </c>
      <c r="AH39" s="1" t="str">
        <f t="shared" si="58"/>
        <v/>
      </c>
      <c r="AI39" s="1" t="str">
        <f t="shared" si="58"/>
        <v/>
      </c>
      <c r="AJ39" s="1" t="str">
        <f t="shared" si="58"/>
        <v/>
      </c>
      <c r="AK39" s="18" t="str">
        <f t="shared" si="58"/>
        <v/>
      </c>
    </row>
    <row r="40" spans="2:37" ht="15.75" thickBot="1" x14ac:dyDescent="0.3">
      <c r="B40" s="1" t="e">
        <f>'Calc Inscription Joueurs'!J6</f>
        <v>#N/A</v>
      </c>
      <c r="C40" s="1" t="e">
        <f>VLOOKUP($B40,$B$49:$I68,C$46,0)</f>
        <v>#N/A</v>
      </c>
      <c r="D40" s="1" t="e">
        <f>VLOOKUP($B40,$B$49:$I68,D$46,0)</f>
        <v>#N/A</v>
      </c>
      <c r="E40" s="1" t="e">
        <f>VLOOKUP($B40,$B$49:$I68,E$46,0)</f>
        <v>#N/A</v>
      </c>
      <c r="F40" s="1" t="e">
        <f>VLOOKUP($B40,$B$49:$I68,F$46,0)</f>
        <v>#N/A</v>
      </c>
      <c r="G40" s="1" t="e">
        <f>VLOOKUP($B40,$B$49:$I68,G$46,0)</f>
        <v>#N/A</v>
      </c>
      <c r="H40" s="1" t="e">
        <f>VLOOKUP($B40,$B$49:$I68,H$46,0)</f>
        <v>#N/A</v>
      </c>
      <c r="I40" s="1" t="e">
        <f>VLOOKUP($B40,$B$49:$I68,I$46,0)</f>
        <v>#N/A</v>
      </c>
      <c r="P40" s="1" t="str">
        <f t="shared" si="59"/>
        <v/>
      </c>
      <c r="Q40" s="1" t="e">
        <f t="shared" si="60"/>
        <v>#N/A</v>
      </c>
      <c r="R40" s="1" t="e">
        <f t="shared" si="57"/>
        <v>#N/A</v>
      </c>
      <c r="S40" s="1" t="e">
        <f t="shared" si="57"/>
        <v>#N/A</v>
      </c>
      <c r="T40" s="1" t="e">
        <f t="shared" si="57"/>
        <v>#N/A</v>
      </c>
      <c r="U40" s="1" t="e">
        <f t="shared" si="57"/>
        <v>#N/A</v>
      </c>
      <c r="V40" s="1" t="e">
        <f t="shared" si="55"/>
        <v>#N/A</v>
      </c>
      <c r="W40" s="1" t="e">
        <f t="shared" si="56"/>
        <v>#N/A</v>
      </c>
      <c r="AE40" s="19">
        <f>IF(AD38&lt;3,"",3)</f>
        <v>3</v>
      </c>
      <c r="AF40" s="20" t="str">
        <f>IFERROR(VLOOKUP($AE40,$P$38:$V$40,AF$29,0),"")</f>
        <v/>
      </c>
      <c r="AG40" s="20" t="str">
        <f t="shared" si="58"/>
        <v/>
      </c>
      <c r="AH40" s="20" t="str">
        <f t="shared" si="58"/>
        <v/>
      </c>
      <c r="AI40" s="20" t="str">
        <f t="shared" si="58"/>
        <v/>
      </c>
      <c r="AJ40" s="20" t="str">
        <f t="shared" si="58"/>
        <v/>
      </c>
      <c r="AK40" s="21" t="str">
        <f t="shared" si="58"/>
        <v/>
      </c>
    </row>
    <row r="41" spans="2:37" ht="15.75" thickBot="1" x14ac:dyDescent="0.3">
      <c r="O41" s="27">
        <f>COUNTA(Q42:Q44)</f>
        <v>3</v>
      </c>
      <c r="P41" s="27">
        <f>COUNTBLANK(Q42:Q44)</f>
        <v>0</v>
      </c>
    </row>
    <row r="42" spans="2:37" x14ac:dyDescent="0.25">
      <c r="B42" s="1" t="e">
        <f>'Calc Inscription Joueurs'!V4</f>
        <v>#N/A</v>
      </c>
      <c r="C42" s="1" t="e">
        <f>VLOOKUP($B42,$B$49:$I70,C$46,0)</f>
        <v>#N/A</v>
      </c>
      <c r="D42" s="1" t="e">
        <f>VLOOKUP($B42,$B$49:$I70,D$46,0)</f>
        <v>#N/A</v>
      </c>
      <c r="E42" s="1" t="e">
        <f>VLOOKUP($B42,$B$49:$I70,E$46,0)</f>
        <v>#N/A</v>
      </c>
      <c r="F42" s="1" t="e">
        <f>VLOOKUP($B42,$B$49:$I70,F$46,0)</f>
        <v>#N/A</v>
      </c>
      <c r="G42" s="1" t="e">
        <f>VLOOKUP($B42,$B$49:$I70,G$46,0)</f>
        <v>#N/A</v>
      </c>
      <c r="H42" s="1" t="e">
        <f>VLOOKUP($B42,$B$49:$I70,H$46,0)</f>
        <v>#N/A</v>
      </c>
      <c r="I42" s="1" t="e">
        <f>VLOOKUP($B42,$B$49:$I70,I$46,0)</f>
        <v>#N/A</v>
      </c>
      <c r="P42" s="1" t="str">
        <f>IFERROR(RANK(I42,$I$42:$I$44,0),"")</f>
        <v/>
      </c>
      <c r="Q42" s="1" t="e">
        <f>B42</f>
        <v>#N/A</v>
      </c>
      <c r="R42" s="1" t="e">
        <f t="shared" ref="R42:U44" si="61">C42</f>
        <v>#N/A</v>
      </c>
      <c r="S42" s="1" t="e">
        <f t="shared" si="61"/>
        <v>#N/A</v>
      </c>
      <c r="T42" s="1" t="e">
        <f t="shared" si="61"/>
        <v>#N/A</v>
      </c>
      <c r="U42" s="1" t="e">
        <f t="shared" si="61"/>
        <v>#N/A</v>
      </c>
      <c r="V42" s="1" t="e">
        <f t="shared" si="55"/>
        <v>#N/A</v>
      </c>
      <c r="W42" s="1" t="e">
        <f t="shared" si="56"/>
        <v>#N/A</v>
      </c>
      <c r="AD42" s="27">
        <f>O41-P41</f>
        <v>3</v>
      </c>
      <c r="AE42" s="14">
        <v>1</v>
      </c>
      <c r="AF42" s="15" t="str">
        <f>IFERROR(VLOOKUP($AE42,$P$42:$V$44,AF$29,0),"")</f>
        <v/>
      </c>
      <c r="AG42" s="15" t="str">
        <f t="shared" ref="AG42:AK44" si="62">IFERROR(VLOOKUP($AE42,$P$42:$V$44,AG$29,0),"")</f>
        <v/>
      </c>
      <c r="AH42" s="15" t="str">
        <f t="shared" si="62"/>
        <v/>
      </c>
      <c r="AI42" s="15" t="str">
        <f t="shared" si="62"/>
        <v/>
      </c>
      <c r="AJ42" s="15" t="str">
        <f t="shared" si="62"/>
        <v/>
      </c>
      <c r="AK42" s="16" t="str">
        <f t="shared" si="62"/>
        <v/>
      </c>
    </row>
    <row r="43" spans="2:37" x14ac:dyDescent="0.25">
      <c r="B43" s="1" t="e">
        <f>'Calc Inscription Joueurs'!V5</f>
        <v>#N/A</v>
      </c>
      <c r="C43" s="1" t="e">
        <f>VLOOKUP($B43,$B$49:$I71,C$46,0)</f>
        <v>#N/A</v>
      </c>
      <c r="D43" s="1" t="e">
        <f>VLOOKUP($B43,$B$49:$I71,D$46,0)</f>
        <v>#N/A</v>
      </c>
      <c r="E43" s="1" t="e">
        <f>VLOOKUP($B43,$B$49:$I71,E$46,0)</f>
        <v>#N/A</v>
      </c>
      <c r="F43" s="1" t="e">
        <f>VLOOKUP($B43,$B$49:$I71,F$46,0)</f>
        <v>#N/A</v>
      </c>
      <c r="G43" s="1" t="e">
        <f>VLOOKUP($B43,$B$49:$I71,G$46,0)</f>
        <v>#N/A</v>
      </c>
      <c r="H43" s="1" t="e">
        <f>VLOOKUP($B43,$B$49:$I71,H$46,0)</f>
        <v>#N/A</v>
      </c>
      <c r="I43" s="1" t="e">
        <f>VLOOKUP($B43,$B$49:$I71,I$46,0)</f>
        <v>#N/A</v>
      </c>
      <c r="K43" s="1" t="str">
        <f>'Calc Inscription Joueurs'!V3</f>
        <v>POULE 3</v>
      </c>
      <c r="P43" s="1" t="str">
        <f t="shared" ref="P43:P44" si="63">IFERROR(RANK(I43,$I$42:$I$44,0),"")</f>
        <v/>
      </c>
      <c r="Q43" s="1" t="e">
        <f t="shared" ref="Q43:Q44" si="64">B43</f>
        <v>#N/A</v>
      </c>
      <c r="R43" s="1" t="e">
        <f t="shared" si="61"/>
        <v>#N/A</v>
      </c>
      <c r="S43" s="1" t="e">
        <f t="shared" si="61"/>
        <v>#N/A</v>
      </c>
      <c r="T43" s="1" t="e">
        <f t="shared" si="61"/>
        <v>#N/A</v>
      </c>
      <c r="U43" s="1" t="e">
        <f t="shared" si="61"/>
        <v>#N/A</v>
      </c>
      <c r="V43" s="1" t="e">
        <f t="shared" si="55"/>
        <v>#N/A</v>
      </c>
      <c r="W43" s="1" t="e">
        <f t="shared" si="56"/>
        <v>#N/A</v>
      </c>
      <c r="AB43" s="1" t="str">
        <f>K43</f>
        <v>POULE 3</v>
      </c>
      <c r="AE43" s="17">
        <v>2</v>
      </c>
      <c r="AF43" s="1" t="str">
        <f>IFERROR(VLOOKUP($AE43,$P$42:$V$44,AF$29,0),"")</f>
        <v/>
      </c>
      <c r="AG43" s="1" t="str">
        <f t="shared" si="62"/>
        <v/>
      </c>
      <c r="AH43" s="1" t="str">
        <f t="shared" si="62"/>
        <v/>
      </c>
      <c r="AI43" s="1" t="str">
        <f t="shared" si="62"/>
        <v/>
      </c>
      <c r="AJ43" s="1" t="str">
        <f t="shared" si="62"/>
        <v/>
      </c>
      <c r="AK43" s="18" t="str">
        <f t="shared" si="62"/>
        <v/>
      </c>
    </row>
    <row r="44" spans="2:37" ht="15.75" thickBot="1" x14ac:dyDescent="0.3">
      <c r="B44" s="1" t="e">
        <f>'Calc Inscription Joueurs'!V6</f>
        <v>#N/A</v>
      </c>
      <c r="C44" s="1" t="e">
        <f>VLOOKUP($B44,$B$49:$I72,C$46,0)</f>
        <v>#N/A</v>
      </c>
      <c r="D44" s="1" t="e">
        <f>VLOOKUP($B44,$B$49:$I72,D$46,0)</f>
        <v>#N/A</v>
      </c>
      <c r="E44" s="1" t="e">
        <f>VLOOKUP($B44,$B$49:$I72,E$46,0)</f>
        <v>#N/A</v>
      </c>
      <c r="F44" s="1" t="e">
        <f>VLOOKUP($B44,$B$49:$I72,F$46,0)</f>
        <v>#N/A</v>
      </c>
      <c r="G44" s="1" t="e">
        <f>VLOOKUP($B44,$B$49:$I72,G$46,0)</f>
        <v>#N/A</v>
      </c>
      <c r="H44" s="1" t="e">
        <f>VLOOKUP($B44,$B$49:$I72,H$46,0)</f>
        <v>#N/A</v>
      </c>
      <c r="I44" s="1" t="e">
        <f>VLOOKUP($B44,$B$49:$I72,I$46,0)</f>
        <v>#N/A</v>
      </c>
      <c r="P44" s="1" t="str">
        <f t="shared" si="63"/>
        <v/>
      </c>
      <c r="Q44" s="1" t="e">
        <f t="shared" si="64"/>
        <v>#N/A</v>
      </c>
      <c r="R44" s="1" t="e">
        <f t="shared" si="61"/>
        <v>#N/A</v>
      </c>
      <c r="S44" s="1" t="e">
        <f t="shared" si="61"/>
        <v>#N/A</v>
      </c>
      <c r="T44" s="1" t="e">
        <f t="shared" si="61"/>
        <v>#N/A</v>
      </c>
      <c r="U44" s="1" t="e">
        <f t="shared" si="61"/>
        <v>#N/A</v>
      </c>
      <c r="V44" s="1" t="e">
        <f t="shared" si="55"/>
        <v>#N/A</v>
      </c>
      <c r="W44" s="1" t="e">
        <f t="shared" si="56"/>
        <v>#N/A</v>
      </c>
      <c r="AE44" s="19">
        <f>IF(AD42&lt;3,"",3)</f>
        <v>3</v>
      </c>
      <c r="AF44" s="20" t="str">
        <f>IFERROR(VLOOKUP($AE44,$P$42:$V$44,AF$29,0),"")</f>
        <v/>
      </c>
      <c r="AG44" s="20" t="str">
        <f t="shared" si="62"/>
        <v/>
      </c>
      <c r="AH44" s="20" t="str">
        <f t="shared" si="62"/>
        <v/>
      </c>
      <c r="AI44" s="20" t="str">
        <f t="shared" si="62"/>
        <v/>
      </c>
      <c r="AJ44" s="20" t="str">
        <f t="shared" si="62"/>
        <v/>
      </c>
      <c r="AK44" s="21" t="str">
        <f t="shared" si="62"/>
        <v/>
      </c>
    </row>
    <row r="46" spans="2:37" x14ac:dyDescent="0.25">
      <c r="C46" s="27">
        <v>2</v>
      </c>
      <c r="D46" s="27">
        <v>3</v>
      </c>
      <c r="E46" s="27">
        <v>4</v>
      </c>
      <c r="F46" s="27">
        <v>5</v>
      </c>
      <c r="G46" s="27">
        <v>6</v>
      </c>
      <c r="H46" s="27">
        <v>7</v>
      </c>
      <c r="I46" s="27">
        <v>8</v>
      </c>
    </row>
    <row r="47" spans="2:37" x14ac:dyDescent="0.25">
      <c r="O47" s="27">
        <f>COUNTA(P49:P57)</f>
        <v>9</v>
      </c>
      <c r="P47" s="27">
        <f>COUNTBLANK(P49:P57)</f>
        <v>9</v>
      </c>
    </row>
    <row r="48" spans="2:37" x14ac:dyDescent="0.25">
      <c r="E48" s="27">
        <v>0.01</v>
      </c>
      <c r="F48" s="27">
        <v>100</v>
      </c>
      <c r="I48" s="27">
        <v>100000</v>
      </c>
      <c r="AF48" s="27">
        <v>2</v>
      </c>
      <c r="AG48" s="27">
        <v>3</v>
      </c>
      <c r="AH48" s="27">
        <v>4</v>
      </c>
      <c r="AI48" s="27">
        <v>5</v>
      </c>
      <c r="AJ48" s="27">
        <v>6</v>
      </c>
      <c r="AK48" s="27">
        <v>7</v>
      </c>
    </row>
    <row r="49" spans="1:37" x14ac:dyDescent="0.25">
      <c r="A49" s="1">
        <v>8.9999999999999998E-4</v>
      </c>
      <c r="B49" s="1" t="e">
        <f t="shared" ref="B49:G49" si="65">I5</f>
        <v>#N/A</v>
      </c>
      <c r="C49" s="1" t="e">
        <f t="shared" si="65"/>
        <v>#N/A</v>
      </c>
      <c r="D49" s="1" t="e">
        <f t="shared" si="65"/>
        <v>#N/A</v>
      </c>
      <c r="E49" s="1" t="e">
        <f t="shared" si="65"/>
        <v>#N/A</v>
      </c>
      <c r="F49" s="1" t="e">
        <f t="shared" si="65"/>
        <v>#N/A</v>
      </c>
      <c r="G49" s="22">
        <f t="shared" si="65"/>
        <v>0</v>
      </c>
      <c r="H49" s="1" t="e">
        <f>O5</f>
        <v>#N/A</v>
      </c>
      <c r="I49" s="1" t="e">
        <f>IF(B49="","",IFERROR((H49*$I$48)+(F49*$F$48)+(E49*$E$48)+A49,""))</f>
        <v>#N/A</v>
      </c>
      <c r="P49" s="1" t="str">
        <f t="shared" ref="P49:P57" si="66">IFERROR(RANK(I49,$I$49:$I$57,0),"")</f>
        <v/>
      </c>
      <c r="Q49" s="1" t="e">
        <f>B49</f>
        <v>#N/A</v>
      </c>
      <c r="R49" s="1" t="e">
        <f>C49</f>
        <v>#N/A</v>
      </c>
      <c r="S49" s="1" t="e">
        <f t="shared" ref="R49:U54" si="67">D49</f>
        <v>#N/A</v>
      </c>
      <c r="T49" s="1" t="e">
        <f t="shared" si="67"/>
        <v>#N/A</v>
      </c>
      <c r="U49" s="1" t="e">
        <f t="shared" si="67"/>
        <v>#N/A</v>
      </c>
      <c r="V49" s="1" t="e">
        <f>H49</f>
        <v>#N/A</v>
      </c>
      <c r="W49" s="1" t="e">
        <f>I49</f>
        <v>#N/A</v>
      </c>
      <c r="AD49" s="27">
        <f>O47-P47</f>
        <v>0</v>
      </c>
      <c r="AE49" s="1" t="str">
        <f>IF(AD49&lt;1,"",1)</f>
        <v/>
      </c>
      <c r="AF49" s="1" t="str">
        <f>IF(AD49&lt;1,"",IFERROR(VLOOKUP($AE49,$P$49:$V$57,AF$48,0),""))</f>
        <v/>
      </c>
      <c r="AG49" s="1" t="str">
        <f>IF(AF49="","",IFERROR(VLOOKUP($AE49,$P$49:$V$57,AG$48,0),""))</f>
        <v/>
      </c>
      <c r="AH49" s="1" t="str">
        <f>IF(AF49="","",IFERROR(VLOOKUP($AE49,$P$49:$V$57,AH$48,0),""))</f>
        <v/>
      </c>
      <c r="AI49" s="1" t="str">
        <f>IF(AF49="","",IFERROR(VLOOKUP($AE49,$P$49:$V$57,AI$48,0),""))</f>
        <v/>
      </c>
      <c r="AJ49" s="22" t="str">
        <f>IF(AF49="","",IFERROR(VLOOKUP($AE49,$P$49:$V$57,AJ$48,0),""))</f>
        <v/>
      </c>
      <c r="AK49" s="1" t="str">
        <f>IF(AF49="","",IFERROR(VLOOKUP($AE49,$P$49:$V$57,AK$48,0),""))</f>
        <v/>
      </c>
    </row>
    <row r="50" spans="1:37" x14ac:dyDescent="0.25">
      <c r="A50" s="1">
        <v>8.0000000000000004E-4</v>
      </c>
      <c r="B50" s="1" t="e">
        <f t="shared" ref="B50:H50" si="68">I11</f>
        <v>#N/A</v>
      </c>
      <c r="C50" s="1" t="e">
        <f t="shared" si="68"/>
        <v>#N/A</v>
      </c>
      <c r="D50" s="1" t="e">
        <f t="shared" si="68"/>
        <v>#N/A</v>
      </c>
      <c r="E50" s="1" t="e">
        <f t="shared" si="68"/>
        <v>#N/A</v>
      </c>
      <c r="F50" s="1" t="e">
        <f t="shared" si="68"/>
        <v>#N/A</v>
      </c>
      <c r="G50" s="1">
        <f t="shared" si="68"/>
        <v>0</v>
      </c>
      <c r="H50" s="1" t="e">
        <f t="shared" si="68"/>
        <v>#N/A</v>
      </c>
      <c r="I50" s="1" t="e">
        <f t="shared" ref="I50:I57" si="69">IF(B50="","",IFERROR((H50*$I$48)+(F50*$F$48)+(E50*$E$48)+A50,""))</f>
        <v>#N/A</v>
      </c>
      <c r="P50" s="1" t="str">
        <f t="shared" si="66"/>
        <v/>
      </c>
      <c r="Q50" s="1" t="e">
        <f t="shared" ref="Q50:Q54" si="70">B50</f>
        <v>#N/A</v>
      </c>
      <c r="R50" s="1" t="e">
        <f t="shared" si="67"/>
        <v>#N/A</v>
      </c>
      <c r="S50" s="1" t="e">
        <f t="shared" si="67"/>
        <v>#N/A</v>
      </c>
      <c r="T50" s="1" t="e">
        <f t="shared" si="67"/>
        <v>#N/A</v>
      </c>
      <c r="U50" s="1" t="e">
        <f t="shared" si="67"/>
        <v>#N/A</v>
      </c>
      <c r="V50" s="1" t="e">
        <f t="shared" ref="V50:V55" si="71">H50</f>
        <v>#N/A</v>
      </c>
      <c r="W50" s="1" t="e">
        <f t="shared" ref="W50:W57" si="72">I50</f>
        <v>#N/A</v>
      </c>
      <c r="AE50" s="1" t="str">
        <f>IF(AD49&lt;2,"",2)</f>
        <v/>
      </c>
      <c r="AF50" s="1" t="str">
        <f>IF(AD49&lt;2,"",IFERROR(VLOOKUP($AE50,$P$49:$V$57,AF$48,0),""))</f>
        <v/>
      </c>
      <c r="AG50" s="1" t="str">
        <f>IF(AF50="","",IFERROR(VLOOKUP($AE50,$P$49:$V$57,AG$48,0),""))</f>
        <v/>
      </c>
      <c r="AH50" s="1" t="str">
        <f t="shared" ref="AH50:AH57" si="73">IF(AF50="","",IFERROR(VLOOKUP($AE50,$P$49:$V$57,AH$48,0),""))</f>
        <v/>
      </c>
      <c r="AI50" s="1" t="str">
        <f t="shared" ref="AI50:AI57" si="74">IF(AF50="","",IFERROR(VLOOKUP($AE50,$P$49:$V$57,AI$48,0),""))</f>
        <v/>
      </c>
      <c r="AJ50" s="22" t="str">
        <f t="shared" ref="AJ50:AJ57" si="75">IF(AF50="","",IFERROR(VLOOKUP($AE50,$P$49:$V$57,AJ$48,0),""))</f>
        <v/>
      </c>
      <c r="AK50" s="1" t="str">
        <f t="shared" ref="AK50:AK57" si="76">IF(AF50="","",IFERROR(VLOOKUP($AE50,$P$49:$V$57,AK$48,0),""))</f>
        <v/>
      </c>
    </row>
    <row r="51" spans="1:37" x14ac:dyDescent="0.25">
      <c r="A51" s="1">
        <v>6.9999999999999999E-4</v>
      </c>
      <c r="B51" s="1" t="e">
        <f t="shared" ref="B51:H51" si="77">X5</f>
        <v>#N/A</v>
      </c>
      <c r="C51" s="1" t="e">
        <f t="shared" si="77"/>
        <v>#N/A</v>
      </c>
      <c r="D51" s="1" t="e">
        <f t="shared" si="77"/>
        <v>#N/A</v>
      </c>
      <c r="E51" s="1" t="e">
        <f t="shared" si="77"/>
        <v>#N/A</v>
      </c>
      <c r="F51" s="1" t="e">
        <f t="shared" si="77"/>
        <v>#N/A</v>
      </c>
      <c r="G51" s="1">
        <f t="shared" si="77"/>
        <v>0</v>
      </c>
      <c r="H51" s="1" t="e">
        <f t="shared" si="77"/>
        <v>#N/A</v>
      </c>
      <c r="I51" s="1" t="e">
        <f t="shared" si="69"/>
        <v>#N/A</v>
      </c>
      <c r="P51" s="1" t="str">
        <f t="shared" si="66"/>
        <v/>
      </c>
      <c r="Q51" s="1" t="e">
        <f t="shared" si="70"/>
        <v>#N/A</v>
      </c>
      <c r="R51" s="1" t="e">
        <f t="shared" si="67"/>
        <v>#N/A</v>
      </c>
      <c r="S51" s="1" t="e">
        <f t="shared" si="67"/>
        <v>#N/A</v>
      </c>
      <c r="T51" s="1" t="e">
        <f t="shared" si="67"/>
        <v>#N/A</v>
      </c>
      <c r="U51" s="1" t="e">
        <f t="shared" si="67"/>
        <v>#N/A</v>
      </c>
      <c r="V51" s="1" t="e">
        <f t="shared" si="71"/>
        <v>#N/A</v>
      </c>
      <c r="W51" s="1" t="e">
        <f t="shared" si="72"/>
        <v>#N/A</v>
      </c>
      <c r="AE51" s="1" t="str">
        <f>IF(AD49&lt;3,"",3)</f>
        <v/>
      </c>
      <c r="AF51" s="1" t="str">
        <f>IF(AD49&lt;3,"",IFERROR(VLOOKUP($AE51,$P$49:$V$57,AF$48,0),""))</f>
        <v/>
      </c>
      <c r="AG51" s="1" t="str">
        <f t="shared" ref="AG51:AG57" si="78">IF(AF51="","",IFERROR(VLOOKUP($AE51,$P$49:$V$57,AG$48,0),""))</f>
        <v/>
      </c>
      <c r="AH51" s="1" t="str">
        <f t="shared" si="73"/>
        <v/>
      </c>
      <c r="AI51" s="1" t="str">
        <f t="shared" si="74"/>
        <v/>
      </c>
      <c r="AJ51" s="22" t="str">
        <f t="shared" si="75"/>
        <v/>
      </c>
      <c r="AK51" s="1" t="str">
        <f t="shared" si="76"/>
        <v/>
      </c>
    </row>
    <row r="52" spans="1:37" x14ac:dyDescent="0.25">
      <c r="A52" s="1">
        <v>5.9999999999999995E-4</v>
      </c>
      <c r="B52" s="1" t="e">
        <f t="shared" ref="B52:H52" si="79">X11</f>
        <v>#N/A</v>
      </c>
      <c r="C52" s="1" t="e">
        <f t="shared" si="79"/>
        <v>#N/A</v>
      </c>
      <c r="D52" s="1" t="e">
        <f t="shared" si="79"/>
        <v>#N/A</v>
      </c>
      <c r="E52" s="1" t="e">
        <f t="shared" si="79"/>
        <v>#N/A</v>
      </c>
      <c r="F52" s="1" t="e">
        <f t="shared" si="79"/>
        <v>#N/A</v>
      </c>
      <c r="G52" s="1">
        <f t="shared" si="79"/>
        <v>0</v>
      </c>
      <c r="H52" s="1" t="e">
        <f t="shared" si="79"/>
        <v>#N/A</v>
      </c>
      <c r="I52" s="1" t="e">
        <f t="shared" si="69"/>
        <v>#N/A</v>
      </c>
      <c r="P52" s="1" t="str">
        <f t="shared" si="66"/>
        <v/>
      </c>
      <c r="Q52" s="1" t="e">
        <f t="shared" si="70"/>
        <v>#N/A</v>
      </c>
      <c r="R52" s="1" t="e">
        <f t="shared" si="67"/>
        <v>#N/A</v>
      </c>
      <c r="S52" s="1" t="e">
        <f t="shared" si="67"/>
        <v>#N/A</v>
      </c>
      <c r="T52" s="1" t="e">
        <f t="shared" si="67"/>
        <v>#N/A</v>
      </c>
      <c r="U52" s="1" t="e">
        <f t="shared" si="67"/>
        <v>#N/A</v>
      </c>
      <c r="V52" s="1" t="e">
        <f t="shared" si="71"/>
        <v>#N/A</v>
      </c>
      <c r="W52" s="1" t="e">
        <f t="shared" si="72"/>
        <v>#N/A</v>
      </c>
      <c r="AE52" s="1" t="str">
        <f>IF(AD49&lt;4,"",4)</f>
        <v/>
      </c>
      <c r="AF52" s="1" t="str">
        <f>IF(AD49&lt;4,"",IFERROR(VLOOKUP($AE52,$P$49:$V$57,AF$48,0),""))</f>
        <v/>
      </c>
      <c r="AG52" s="1" t="str">
        <f t="shared" si="78"/>
        <v/>
      </c>
      <c r="AH52" s="1" t="str">
        <f t="shared" si="73"/>
        <v/>
      </c>
      <c r="AI52" s="1" t="str">
        <f t="shared" si="74"/>
        <v/>
      </c>
      <c r="AJ52" s="22" t="str">
        <f t="shared" si="75"/>
        <v/>
      </c>
      <c r="AK52" s="1" t="str">
        <f t="shared" si="76"/>
        <v/>
      </c>
    </row>
    <row r="53" spans="1:37" x14ac:dyDescent="0.25">
      <c r="A53" s="1">
        <v>5.0000000000000001E-4</v>
      </c>
      <c r="B53" s="1" t="e">
        <f>AM5</f>
        <v>#N/A</v>
      </c>
      <c r="C53" s="1" t="e">
        <f t="shared" ref="C53:G53" si="80">IF($B$53="","",AN5)</f>
        <v>#N/A</v>
      </c>
      <c r="D53" s="1" t="e">
        <f t="shared" si="80"/>
        <v>#N/A</v>
      </c>
      <c r="E53" s="1" t="e">
        <f t="shared" si="80"/>
        <v>#N/A</v>
      </c>
      <c r="F53" s="1" t="e">
        <f t="shared" si="80"/>
        <v>#N/A</v>
      </c>
      <c r="G53" s="1" t="e">
        <f t="shared" si="80"/>
        <v>#N/A</v>
      </c>
      <c r="H53" s="1" t="e">
        <f>IF($B$53="","",AS5)</f>
        <v>#N/A</v>
      </c>
      <c r="I53" s="1" t="e">
        <f t="shared" si="69"/>
        <v>#N/A</v>
      </c>
      <c r="P53" s="1" t="str">
        <f t="shared" si="66"/>
        <v/>
      </c>
      <c r="Q53" s="1" t="e">
        <f t="shared" si="70"/>
        <v>#N/A</v>
      </c>
      <c r="R53" s="1" t="e">
        <f t="shared" si="67"/>
        <v>#N/A</v>
      </c>
      <c r="S53" s="1" t="e">
        <f t="shared" si="67"/>
        <v>#N/A</v>
      </c>
      <c r="T53" s="1" t="e">
        <f t="shared" si="67"/>
        <v>#N/A</v>
      </c>
      <c r="U53" s="1" t="e">
        <f t="shared" si="67"/>
        <v>#N/A</v>
      </c>
      <c r="V53" s="1" t="e">
        <f t="shared" si="71"/>
        <v>#N/A</v>
      </c>
      <c r="W53" s="1" t="e">
        <f t="shared" si="72"/>
        <v>#N/A</v>
      </c>
      <c r="AE53" s="1" t="str">
        <f>IF(AD49&lt;5,"",5)</f>
        <v/>
      </c>
      <c r="AF53" s="1" t="str">
        <f>IF(AD49&lt;5,"",IFERROR(VLOOKUP($AE53,$P$49:$V$57,AF$48,0),""))</f>
        <v/>
      </c>
      <c r="AG53" s="1" t="str">
        <f t="shared" si="78"/>
        <v/>
      </c>
      <c r="AH53" s="1" t="str">
        <f t="shared" si="73"/>
        <v/>
      </c>
      <c r="AI53" s="1" t="str">
        <f t="shared" si="74"/>
        <v/>
      </c>
      <c r="AJ53" s="22" t="str">
        <f t="shared" si="75"/>
        <v/>
      </c>
      <c r="AK53" s="1" t="str">
        <f t="shared" si="76"/>
        <v/>
      </c>
    </row>
    <row r="54" spans="1:37" x14ac:dyDescent="0.25">
      <c r="A54" s="1">
        <v>4.0000000000000002E-4</v>
      </c>
      <c r="B54" s="1" t="e">
        <f>AM11</f>
        <v>#N/A</v>
      </c>
      <c r="C54" s="1" t="e">
        <f t="shared" ref="C54:G54" si="81">IF(B54="","",AN11)</f>
        <v>#N/A</v>
      </c>
      <c r="D54" s="1" t="e">
        <f t="shared" si="81"/>
        <v>#N/A</v>
      </c>
      <c r="E54" s="1" t="e">
        <f t="shared" si="81"/>
        <v>#N/A</v>
      </c>
      <c r="F54" s="1" t="e">
        <f t="shared" si="81"/>
        <v>#N/A</v>
      </c>
      <c r="G54" s="1" t="e">
        <f t="shared" si="81"/>
        <v>#N/A</v>
      </c>
      <c r="H54" s="1" t="e">
        <f>IF($B$54="","",AS11)</f>
        <v>#N/A</v>
      </c>
      <c r="I54" s="1" t="e">
        <f t="shared" si="69"/>
        <v>#N/A</v>
      </c>
      <c r="P54" s="1" t="str">
        <f t="shared" si="66"/>
        <v/>
      </c>
      <c r="Q54" s="1" t="e">
        <f t="shared" si="70"/>
        <v>#N/A</v>
      </c>
      <c r="R54" s="1" t="e">
        <f t="shared" si="67"/>
        <v>#N/A</v>
      </c>
      <c r="S54" s="1" t="e">
        <f t="shared" si="67"/>
        <v>#N/A</v>
      </c>
      <c r="T54" s="1" t="e">
        <f t="shared" si="67"/>
        <v>#N/A</v>
      </c>
      <c r="U54" s="1" t="e">
        <f t="shared" si="67"/>
        <v>#N/A</v>
      </c>
      <c r="V54" s="1" t="e">
        <f t="shared" si="71"/>
        <v>#N/A</v>
      </c>
      <c r="W54" s="1" t="e">
        <f t="shared" si="72"/>
        <v>#N/A</v>
      </c>
      <c r="AE54" s="1" t="str">
        <f>IF(AD49&lt;6,"",6)</f>
        <v/>
      </c>
      <c r="AF54" s="1" t="str">
        <f>IF(AD49&lt;6,"",IFERROR(VLOOKUP($AE54,$P$49:$V$57,AF$48,0),""))</f>
        <v/>
      </c>
      <c r="AG54" s="1" t="str">
        <f t="shared" si="78"/>
        <v/>
      </c>
      <c r="AH54" s="1" t="str">
        <f t="shared" si="73"/>
        <v/>
      </c>
      <c r="AI54" s="1" t="str">
        <f t="shared" si="74"/>
        <v/>
      </c>
      <c r="AJ54" s="22" t="str">
        <f t="shared" si="75"/>
        <v/>
      </c>
      <c r="AK54" s="1" t="str">
        <f t="shared" si="76"/>
        <v/>
      </c>
    </row>
    <row r="55" spans="1:37" x14ac:dyDescent="0.25">
      <c r="A55" s="1">
        <v>2.9999999999999997E-4</v>
      </c>
      <c r="B55" s="1" t="e">
        <f>IF(O17="","",I17)</f>
        <v>#N/A</v>
      </c>
      <c r="C55" s="1" t="e">
        <f t="shared" ref="C55:G55" si="82">IF(B55="","",J17)</f>
        <v>#N/A</v>
      </c>
      <c r="D55" s="1" t="e">
        <f t="shared" si="82"/>
        <v>#N/A</v>
      </c>
      <c r="E55" s="1" t="e">
        <f t="shared" si="82"/>
        <v>#N/A</v>
      </c>
      <c r="F55" s="1" t="e">
        <f t="shared" si="82"/>
        <v>#N/A</v>
      </c>
      <c r="G55" s="1" t="e">
        <f t="shared" si="82"/>
        <v>#N/A</v>
      </c>
      <c r="H55" s="1" t="e">
        <f>IF($B$55="","",O17)</f>
        <v>#N/A</v>
      </c>
      <c r="I55" s="1" t="e">
        <f t="shared" si="69"/>
        <v>#N/A</v>
      </c>
      <c r="P55" s="1" t="str">
        <f t="shared" si="66"/>
        <v/>
      </c>
      <c r="Q55" s="1" t="e">
        <f t="shared" ref="Q55:Q57" si="83">B55</f>
        <v>#N/A</v>
      </c>
      <c r="R55" s="1" t="e">
        <f t="shared" ref="R55:R57" si="84">C55</f>
        <v>#N/A</v>
      </c>
      <c r="S55" s="1" t="e">
        <f t="shared" ref="S55:S57" si="85">D55</f>
        <v>#N/A</v>
      </c>
      <c r="T55" s="1" t="e">
        <f t="shared" ref="T55:T57" si="86">E55</f>
        <v>#N/A</v>
      </c>
      <c r="U55" s="1" t="e">
        <f t="shared" ref="U55:U57" si="87">F55</f>
        <v>#N/A</v>
      </c>
      <c r="V55" s="1" t="e">
        <f t="shared" si="71"/>
        <v>#N/A</v>
      </c>
      <c r="W55" s="1" t="e">
        <f t="shared" si="72"/>
        <v>#N/A</v>
      </c>
      <c r="AE55" s="1" t="str">
        <f>IF(AD49&lt;7,"",7)</f>
        <v/>
      </c>
      <c r="AF55" s="1" t="str">
        <f>IF(AD49&lt;7,"",IFERROR(VLOOKUP($AE55,$P$49:$V$57,AF$48,0),""))</f>
        <v/>
      </c>
      <c r="AG55" s="1" t="str">
        <f t="shared" si="78"/>
        <v/>
      </c>
      <c r="AH55" s="1" t="str">
        <f t="shared" si="73"/>
        <v/>
      </c>
      <c r="AI55" s="1" t="str">
        <f t="shared" si="74"/>
        <v/>
      </c>
      <c r="AJ55" s="22" t="str">
        <f t="shared" si="75"/>
        <v/>
      </c>
      <c r="AK55" s="1" t="str">
        <f t="shared" si="76"/>
        <v/>
      </c>
    </row>
    <row r="56" spans="1:37" x14ac:dyDescent="0.25">
      <c r="A56" s="1">
        <v>2.0000000000000001E-4</v>
      </c>
      <c r="B56" s="1" t="e">
        <f t="shared" ref="B56:G56" si="88">X17</f>
        <v>#N/A</v>
      </c>
      <c r="C56" s="1" t="e">
        <f t="shared" si="88"/>
        <v>#N/A</v>
      </c>
      <c r="D56" s="1" t="e">
        <f t="shared" si="88"/>
        <v>#N/A</v>
      </c>
      <c r="E56" s="1" t="e">
        <f t="shared" si="88"/>
        <v>#N/A</v>
      </c>
      <c r="F56" s="1" t="e">
        <f t="shared" si="88"/>
        <v>#N/A</v>
      </c>
      <c r="G56" s="1" t="e">
        <f t="shared" si="88"/>
        <v>#N/A</v>
      </c>
      <c r="H56" s="1" t="e">
        <f>IF($B$56="","",AD17)</f>
        <v>#N/A</v>
      </c>
      <c r="I56" s="1" t="e">
        <f t="shared" si="69"/>
        <v>#N/A</v>
      </c>
      <c r="P56" s="1" t="str">
        <f t="shared" si="66"/>
        <v/>
      </c>
      <c r="Q56" s="1" t="e">
        <f t="shared" si="83"/>
        <v>#N/A</v>
      </c>
      <c r="R56" s="1" t="e">
        <f t="shared" si="84"/>
        <v>#N/A</v>
      </c>
      <c r="S56" s="1" t="e">
        <f t="shared" si="85"/>
        <v>#N/A</v>
      </c>
      <c r="T56" s="1" t="e">
        <f t="shared" si="86"/>
        <v>#N/A</v>
      </c>
      <c r="U56" s="1" t="e">
        <f t="shared" si="87"/>
        <v>#N/A</v>
      </c>
      <c r="V56" s="1" t="e">
        <f t="shared" ref="V56:V57" si="89">H56</f>
        <v>#N/A</v>
      </c>
      <c r="W56" s="1" t="e">
        <f t="shared" si="72"/>
        <v>#N/A</v>
      </c>
      <c r="AE56" s="1" t="str">
        <f>IF(AD49&lt;8,"",8)</f>
        <v/>
      </c>
      <c r="AF56" s="1" t="str">
        <f>IF(AD49&lt;8,"",IFERROR(VLOOKUP($AE56,$P$49:$V$57,AF$48,0),""))</f>
        <v/>
      </c>
      <c r="AG56" s="1" t="str">
        <f t="shared" si="78"/>
        <v/>
      </c>
      <c r="AH56" s="1" t="str">
        <f t="shared" si="73"/>
        <v/>
      </c>
      <c r="AI56" s="1" t="str">
        <f t="shared" si="74"/>
        <v/>
      </c>
      <c r="AJ56" s="22" t="str">
        <f t="shared" si="75"/>
        <v/>
      </c>
      <c r="AK56" s="1" t="str">
        <f t="shared" si="76"/>
        <v/>
      </c>
    </row>
    <row r="57" spans="1:37" x14ac:dyDescent="0.25">
      <c r="A57" s="1">
        <v>1.0000000000000099E-4</v>
      </c>
      <c r="B57" s="1" t="e">
        <f t="shared" ref="B57:G57" si="90">AM17</f>
        <v>#N/A</v>
      </c>
      <c r="C57" s="1" t="e">
        <f t="shared" si="90"/>
        <v>#N/A</v>
      </c>
      <c r="D57" s="1" t="e">
        <f t="shared" si="90"/>
        <v>#N/A</v>
      </c>
      <c r="E57" s="1" t="e">
        <f t="shared" si="90"/>
        <v>#N/A</v>
      </c>
      <c r="F57" s="1" t="e">
        <f t="shared" si="90"/>
        <v>#N/A</v>
      </c>
      <c r="G57" s="1" t="e">
        <f t="shared" si="90"/>
        <v>#N/A</v>
      </c>
      <c r="H57" s="1" t="e">
        <f>IF($B$57="","",AS17)</f>
        <v>#N/A</v>
      </c>
      <c r="I57" s="1" t="e">
        <f t="shared" si="69"/>
        <v>#N/A</v>
      </c>
      <c r="P57" s="1" t="str">
        <f t="shared" si="66"/>
        <v/>
      </c>
      <c r="Q57" s="1" t="e">
        <f t="shared" si="83"/>
        <v>#N/A</v>
      </c>
      <c r="R57" s="1" t="e">
        <f t="shared" si="84"/>
        <v>#N/A</v>
      </c>
      <c r="S57" s="1" t="e">
        <f t="shared" si="85"/>
        <v>#N/A</v>
      </c>
      <c r="T57" s="1" t="e">
        <f t="shared" si="86"/>
        <v>#N/A</v>
      </c>
      <c r="U57" s="1" t="e">
        <f t="shared" si="87"/>
        <v>#N/A</v>
      </c>
      <c r="V57" s="1" t="e">
        <f t="shared" si="89"/>
        <v>#N/A</v>
      </c>
      <c r="W57" s="1" t="e">
        <f t="shared" si="72"/>
        <v>#N/A</v>
      </c>
      <c r="AE57" s="1" t="str">
        <f>IF(AD49&lt;9,"",9)</f>
        <v/>
      </c>
      <c r="AF57" s="1" t="str">
        <f>IF(AD49&lt;9,"",IFERROR(VLOOKUP($AE57,$P$49:$V$57,AF$48,0),""))</f>
        <v/>
      </c>
      <c r="AG57" s="1" t="str">
        <f t="shared" si="78"/>
        <v/>
      </c>
      <c r="AH57" s="1" t="str">
        <f t="shared" si="73"/>
        <v/>
      </c>
      <c r="AI57" s="1" t="str">
        <f t="shared" si="74"/>
        <v/>
      </c>
      <c r="AJ57" s="22" t="str">
        <f t="shared" si="75"/>
        <v/>
      </c>
      <c r="AK57" s="1" t="str">
        <f t="shared" si="76"/>
        <v/>
      </c>
    </row>
    <row r="59" spans="1:37" x14ac:dyDescent="0.25">
      <c r="B59" s="65" t="s">
        <v>274</v>
      </c>
      <c r="O59" s="27">
        <f>COUNTA(P60:P65)</f>
        <v>6</v>
      </c>
      <c r="P59" s="27">
        <f>COUNTBLANK(P60:P65)</f>
        <v>6</v>
      </c>
    </row>
    <row r="60" spans="1:37" x14ac:dyDescent="0.25">
      <c r="B60" s="1" t="e">
        <f>I2</f>
        <v>#N/A</v>
      </c>
      <c r="C60" s="1">
        <f t="shared" ref="C60:H60" si="91">J2</f>
        <v>0</v>
      </c>
      <c r="D60" s="1">
        <f t="shared" si="91"/>
        <v>0</v>
      </c>
      <c r="E60" s="1">
        <f t="shared" si="91"/>
        <v>0</v>
      </c>
      <c r="F60" s="1" t="e">
        <f t="shared" si="91"/>
        <v>#DIV/0!</v>
      </c>
      <c r="G60" s="1" t="str">
        <f t="shared" si="91"/>
        <v/>
      </c>
      <c r="H60" s="1">
        <f t="shared" si="91"/>
        <v>0</v>
      </c>
      <c r="I60" s="1" t="e">
        <f>IF(B60="","",H60*$I$48+F60*$F$48+E60*$E$48)</f>
        <v>#N/A</v>
      </c>
      <c r="P60" s="1" t="str">
        <f>IFERROR(RANK(I60,$I$60:$I$65,0),"")</f>
        <v/>
      </c>
      <c r="Q60" s="1" t="e">
        <f>B60</f>
        <v>#N/A</v>
      </c>
      <c r="R60" s="1">
        <f>C60</f>
        <v>0</v>
      </c>
      <c r="S60" s="1">
        <f t="shared" ref="S60" si="92">D60</f>
        <v>0</v>
      </c>
      <c r="T60" s="1">
        <f t="shared" ref="T60" si="93">E60</f>
        <v>0</v>
      </c>
      <c r="U60" s="1" t="e">
        <f t="shared" ref="U60" si="94">F60</f>
        <v>#DIV/0!</v>
      </c>
      <c r="V60" s="1">
        <f>H60</f>
        <v>0</v>
      </c>
      <c r="W60" s="1" t="e">
        <f>I60</f>
        <v>#N/A</v>
      </c>
      <c r="AD60" s="27">
        <f>O59-P59</f>
        <v>0</v>
      </c>
      <c r="AE60" s="1">
        <v>1</v>
      </c>
      <c r="AF60" s="1" t="str">
        <f t="shared" ref="AF60:AK60" si="95">IFERROR(VLOOKUP($AE60,$P$60:$V$65,AF$48,0),"")</f>
        <v/>
      </c>
      <c r="AG60" s="1" t="str">
        <f t="shared" si="95"/>
        <v/>
      </c>
      <c r="AH60" s="1" t="str">
        <f t="shared" si="95"/>
        <v/>
      </c>
      <c r="AI60" s="1" t="str">
        <f t="shared" si="95"/>
        <v/>
      </c>
      <c r="AJ60" s="22" t="str">
        <f t="shared" si="95"/>
        <v/>
      </c>
      <c r="AK60" s="1" t="str">
        <f t="shared" si="95"/>
        <v/>
      </c>
    </row>
    <row r="61" spans="1:37" x14ac:dyDescent="0.25">
      <c r="B61" s="1" t="e">
        <f>I8</f>
        <v>#N/A</v>
      </c>
      <c r="C61" s="1">
        <f t="shared" ref="C61:H61" si="96">J8</f>
        <v>0</v>
      </c>
      <c r="D61" s="1">
        <f t="shared" si="96"/>
        <v>0</v>
      </c>
      <c r="E61" s="1">
        <f t="shared" si="96"/>
        <v>0</v>
      </c>
      <c r="F61" s="1" t="e">
        <f t="shared" si="96"/>
        <v>#DIV/0!</v>
      </c>
      <c r="G61" s="1" t="str">
        <f t="shared" si="96"/>
        <v/>
      </c>
      <c r="H61" s="1">
        <f t="shared" si="96"/>
        <v>0</v>
      </c>
      <c r="I61" s="1" t="e">
        <f t="shared" ref="I61:I64" si="97">IF(B61="","",H61*$I$48+F61*$F$48+E61*$E$48)</f>
        <v>#N/A</v>
      </c>
      <c r="P61" s="1" t="str">
        <f t="shared" ref="P61:P65" si="98">IFERROR(RANK(I61,$I$60:$I$65,0),"")</f>
        <v/>
      </c>
      <c r="Q61" s="1" t="e">
        <f t="shared" ref="Q61:Q65" si="99">B61</f>
        <v>#N/A</v>
      </c>
      <c r="R61" s="1">
        <f t="shared" ref="R61:R65" si="100">C61</f>
        <v>0</v>
      </c>
      <c r="S61" s="1">
        <f t="shared" ref="S61:S65" si="101">D61</f>
        <v>0</v>
      </c>
      <c r="T61" s="1">
        <f t="shared" ref="T61:T65" si="102">E61</f>
        <v>0</v>
      </c>
      <c r="U61" s="1" t="e">
        <f t="shared" ref="U61:U65" si="103">F61</f>
        <v>#DIV/0!</v>
      </c>
      <c r="V61" s="1">
        <f t="shared" ref="V61:V65" si="104">H61</f>
        <v>0</v>
      </c>
      <c r="W61" s="1" t="e">
        <f t="shared" ref="W61:W65" si="105">I61</f>
        <v>#N/A</v>
      </c>
      <c r="AE61" s="1">
        <v>2</v>
      </c>
      <c r="AF61" s="1" t="str">
        <f t="shared" ref="AF61:AK65" si="106">IFERROR(VLOOKUP($AE61,$P$60:$V$65,AF$48,0),"")</f>
        <v/>
      </c>
      <c r="AG61" s="1" t="str">
        <f t="shared" si="106"/>
        <v/>
      </c>
      <c r="AH61" s="1" t="str">
        <f t="shared" si="106"/>
        <v/>
      </c>
      <c r="AI61" s="1" t="str">
        <f t="shared" si="106"/>
        <v/>
      </c>
      <c r="AJ61" s="22" t="str">
        <f t="shared" si="106"/>
        <v/>
      </c>
      <c r="AK61" s="1" t="str">
        <f t="shared" si="106"/>
        <v/>
      </c>
    </row>
    <row r="62" spans="1:37" x14ac:dyDescent="0.25">
      <c r="B62" s="1" t="e">
        <f>X2</f>
        <v>#N/A</v>
      </c>
      <c r="C62" s="1">
        <f t="shared" ref="C62:H62" si="107">Y2</f>
        <v>0</v>
      </c>
      <c r="D62" s="1">
        <f t="shared" si="107"/>
        <v>0</v>
      </c>
      <c r="E62" s="1">
        <f t="shared" si="107"/>
        <v>0</v>
      </c>
      <c r="F62" s="1" t="e">
        <f t="shared" si="107"/>
        <v>#DIV/0!</v>
      </c>
      <c r="G62" s="1" t="str">
        <f t="shared" si="107"/>
        <v/>
      </c>
      <c r="H62" s="1">
        <f t="shared" si="107"/>
        <v>0</v>
      </c>
      <c r="I62" s="1" t="e">
        <f t="shared" si="97"/>
        <v>#N/A</v>
      </c>
      <c r="P62" s="1" t="str">
        <f t="shared" si="98"/>
        <v/>
      </c>
      <c r="Q62" s="1" t="e">
        <f t="shared" si="99"/>
        <v>#N/A</v>
      </c>
      <c r="R62" s="1">
        <f t="shared" si="100"/>
        <v>0</v>
      </c>
      <c r="S62" s="1">
        <f t="shared" si="101"/>
        <v>0</v>
      </c>
      <c r="T62" s="1">
        <f t="shared" si="102"/>
        <v>0</v>
      </c>
      <c r="U62" s="1" t="e">
        <f t="shared" si="103"/>
        <v>#DIV/0!</v>
      </c>
      <c r="V62" s="1">
        <f t="shared" si="104"/>
        <v>0</v>
      </c>
      <c r="W62" s="1" t="e">
        <f t="shared" si="105"/>
        <v>#N/A</v>
      </c>
      <c r="AE62" s="1" t="str">
        <f>IF(AD60&lt;3,"",3)</f>
        <v/>
      </c>
      <c r="AF62" s="1" t="str">
        <f t="shared" si="106"/>
        <v/>
      </c>
      <c r="AG62" s="1">
        <f t="shared" si="106"/>
        <v>0</v>
      </c>
      <c r="AH62" s="1">
        <f t="shared" si="106"/>
        <v>0</v>
      </c>
      <c r="AI62" s="1">
        <f t="shared" si="106"/>
        <v>0</v>
      </c>
      <c r="AJ62" s="22" t="str">
        <f t="shared" si="106"/>
        <v/>
      </c>
      <c r="AK62" s="1">
        <f t="shared" si="106"/>
        <v>0</v>
      </c>
    </row>
    <row r="63" spans="1:37" x14ac:dyDescent="0.25">
      <c r="B63" s="1" t="e">
        <f>X8</f>
        <v>#N/A</v>
      </c>
      <c r="C63" s="1">
        <f t="shared" ref="C63:H63" si="108">Y8</f>
        <v>0</v>
      </c>
      <c r="D63" s="1">
        <f t="shared" si="108"/>
        <v>0</v>
      </c>
      <c r="E63" s="1">
        <f t="shared" si="108"/>
        <v>0</v>
      </c>
      <c r="F63" s="1" t="e">
        <f t="shared" si="108"/>
        <v>#DIV/0!</v>
      </c>
      <c r="G63" s="1" t="str">
        <f t="shared" si="108"/>
        <v/>
      </c>
      <c r="H63" s="1">
        <f t="shared" si="108"/>
        <v>0</v>
      </c>
      <c r="I63" s="1" t="e">
        <f t="shared" si="97"/>
        <v>#N/A</v>
      </c>
      <c r="P63" s="1" t="str">
        <f t="shared" si="98"/>
        <v/>
      </c>
      <c r="Q63" s="1" t="e">
        <f t="shared" si="99"/>
        <v>#N/A</v>
      </c>
      <c r="R63" s="1">
        <f t="shared" si="100"/>
        <v>0</v>
      </c>
      <c r="S63" s="1">
        <f t="shared" si="101"/>
        <v>0</v>
      </c>
      <c r="T63" s="1">
        <f t="shared" si="102"/>
        <v>0</v>
      </c>
      <c r="U63" s="1" t="e">
        <f t="shared" si="103"/>
        <v>#DIV/0!</v>
      </c>
      <c r="V63" s="1">
        <f t="shared" si="104"/>
        <v>0</v>
      </c>
      <c r="W63" s="1" t="e">
        <f t="shared" si="105"/>
        <v>#N/A</v>
      </c>
      <c r="AE63" s="1" t="str">
        <f>IF(AD60&lt;4,"",4)</f>
        <v/>
      </c>
      <c r="AF63" s="1" t="str">
        <f t="shared" si="106"/>
        <v/>
      </c>
      <c r="AG63" s="1">
        <f t="shared" si="106"/>
        <v>0</v>
      </c>
      <c r="AH63" s="1">
        <f t="shared" si="106"/>
        <v>0</v>
      </c>
      <c r="AI63" s="1">
        <f t="shared" si="106"/>
        <v>0</v>
      </c>
      <c r="AJ63" s="22" t="str">
        <f t="shared" si="106"/>
        <v/>
      </c>
      <c r="AK63" s="1">
        <f t="shared" si="106"/>
        <v>0</v>
      </c>
    </row>
    <row r="64" spans="1:37" x14ac:dyDescent="0.25">
      <c r="B64" s="1" t="e">
        <f>AM2</f>
        <v>#N/A</v>
      </c>
      <c r="C64" s="1">
        <f t="shared" ref="C64:H64" si="109">AN2</f>
        <v>0</v>
      </c>
      <c r="D64" s="1">
        <f t="shared" si="109"/>
        <v>0</v>
      </c>
      <c r="E64" s="1">
        <f t="shared" si="109"/>
        <v>0</v>
      </c>
      <c r="F64" s="1" t="str">
        <f t="shared" si="109"/>
        <v/>
      </c>
      <c r="G64" s="1" t="str">
        <f t="shared" si="109"/>
        <v/>
      </c>
      <c r="H64" s="1">
        <f t="shared" si="109"/>
        <v>0</v>
      </c>
      <c r="I64" s="1" t="e">
        <f t="shared" si="97"/>
        <v>#N/A</v>
      </c>
      <c r="P64" s="1" t="str">
        <f t="shared" si="98"/>
        <v/>
      </c>
      <c r="Q64" s="1" t="e">
        <f t="shared" si="99"/>
        <v>#N/A</v>
      </c>
      <c r="R64" s="1">
        <f t="shared" si="100"/>
        <v>0</v>
      </c>
      <c r="S64" s="1">
        <f t="shared" si="101"/>
        <v>0</v>
      </c>
      <c r="T64" s="1">
        <f t="shared" si="102"/>
        <v>0</v>
      </c>
      <c r="U64" s="1" t="str">
        <f t="shared" si="103"/>
        <v/>
      </c>
      <c r="V64" s="1">
        <f t="shared" si="104"/>
        <v>0</v>
      </c>
      <c r="W64" s="1" t="e">
        <f t="shared" si="105"/>
        <v>#N/A</v>
      </c>
      <c r="AE64" s="1" t="str">
        <f>IF(AD60&lt;5,"",5)</f>
        <v/>
      </c>
      <c r="AF64" s="1" t="str">
        <f t="shared" si="106"/>
        <v/>
      </c>
      <c r="AG64" s="1">
        <f t="shared" si="106"/>
        <v>0</v>
      </c>
      <c r="AH64" s="1">
        <f t="shared" si="106"/>
        <v>0</v>
      </c>
      <c r="AI64" s="1">
        <f t="shared" si="106"/>
        <v>0</v>
      </c>
      <c r="AJ64" s="22" t="str">
        <f t="shared" si="106"/>
        <v/>
      </c>
      <c r="AK64" s="1">
        <f t="shared" si="106"/>
        <v>0</v>
      </c>
    </row>
    <row r="65" spans="2:37" x14ac:dyDescent="0.25">
      <c r="B65" s="1" t="e">
        <f>AM8</f>
        <v>#N/A</v>
      </c>
      <c r="C65" s="1">
        <f t="shared" ref="C65:H65" si="110">AN8</f>
        <v>0</v>
      </c>
      <c r="D65" s="1">
        <f t="shared" si="110"/>
        <v>0</v>
      </c>
      <c r="E65" s="1">
        <f t="shared" si="110"/>
        <v>0</v>
      </c>
      <c r="F65" s="1" t="str">
        <f t="shared" si="110"/>
        <v/>
      </c>
      <c r="G65" s="1" t="str">
        <f t="shared" si="110"/>
        <v/>
      </c>
      <c r="H65" s="1">
        <f t="shared" si="110"/>
        <v>0</v>
      </c>
      <c r="I65" s="1" t="e">
        <f>IF(B65="","",H65*$I$48+F65*$F$48+E65*$E$48)</f>
        <v>#N/A</v>
      </c>
      <c r="P65" s="1" t="str">
        <f t="shared" si="98"/>
        <v/>
      </c>
      <c r="Q65" s="1" t="e">
        <f t="shared" si="99"/>
        <v>#N/A</v>
      </c>
      <c r="R65" s="1">
        <f t="shared" si="100"/>
        <v>0</v>
      </c>
      <c r="S65" s="1">
        <f t="shared" si="101"/>
        <v>0</v>
      </c>
      <c r="T65" s="1">
        <f t="shared" si="102"/>
        <v>0</v>
      </c>
      <c r="U65" s="1" t="str">
        <f t="shared" si="103"/>
        <v/>
      </c>
      <c r="V65" s="1">
        <f t="shared" si="104"/>
        <v>0</v>
      </c>
      <c r="W65" s="1" t="e">
        <f t="shared" si="105"/>
        <v>#N/A</v>
      </c>
      <c r="AE65" s="1" t="str">
        <f>IF(AD60&lt;6,"",6)</f>
        <v/>
      </c>
      <c r="AF65" s="1" t="str">
        <f t="shared" si="106"/>
        <v/>
      </c>
      <c r="AG65" s="1">
        <f t="shared" si="106"/>
        <v>0</v>
      </c>
      <c r="AH65" s="1">
        <f t="shared" si="106"/>
        <v>0</v>
      </c>
      <c r="AI65" s="1">
        <f t="shared" si="106"/>
        <v>0</v>
      </c>
      <c r="AJ65" s="22" t="str">
        <f t="shared" si="106"/>
        <v/>
      </c>
      <c r="AK65" s="1">
        <f t="shared" si="106"/>
        <v>0</v>
      </c>
    </row>
  </sheetData>
  <sheetProtection algorithmName="SHA-512" hashValue="XPvvDMacatz0A80hit/5vvJhQu4d3Knn/Gwg+e7cuU4rQmQt8qfgh1TNHaGN2rzD3eeVNheRsqzxvbF+SmvPuA==" saltValue="f4NybTJmDG9be5uZygvGCA==" spinCount="100000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BF188"/>
  <sheetViews>
    <sheetView workbookViewId="0">
      <selection activeCell="D19" sqref="D19"/>
    </sheetView>
  </sheetViews>
  <sheetFormatPr baseColWidth="10" defaultRowHeight="15" x14ac:dyDescent="0.25"/>
  <cols>
    <col min="1" max="1" width="17.28515625" style="1" bestFit="1" customWidth="1"/>
    <col min="2" max="2" width="20.5703125" style="1" bestFit="1" customWidth="1"/>
    <col min="3" max="3" width="18.85546875" style="1" bestFit="1" customWidth="1"/>
    <col min="4" max="4" width="12.42578125" style="1" bestFit="1" customWidth="1"/>
    <col min="5" max="5" width="5.5703125" style="1" bestFit="1" customWidth="1"/>
    <col min="6" max="6" width="9.5703125" style="1" customWidth="1"/>
    <col min="7" max="7" width="10.42578125" bestFit="1" customWidth="1"/>
    <col min="8" max="8" width="18.42578125" style="1" bestFit="1" customWidth="1"/>
    <col min="9" max="9" width="20.140625" style="1" bestFit="1" customWidth="1"/>
    <col min="10" max="10" width="19.42578125" style="1" bestFit="1" customWidth="1"/>
    <col min="11" max="11" width="19" style="1" bestFit="1" customWidth="1"/>
    <col min="12" max="12" width="18.140625" style="1" bestFit="1" customWidth="1"/>
    <col min="13" max="13" width="17.42578125" style="1" bestFit="1" customWidth="1"/>
    <col min="14" max="14" width="20.140625" style="1" bestFit="1" customWidth="1"/>
    <col min="15" max="15" width="18.5703125" style="1" bestFit="1" customWidth="1"/>
    <col min="16" max="16" width="18.42578125" style="1" bestFit="1" customWidth="1"/>
    <col min="17" max="17" width="21.28515625" style="1" bestFit="1" customWidth="1"/>
    <col min="18" max="18" width="18.5703125" style="1" bestFit="1" customWidth="1"/>
    <col min="19" max="19" width="20.140625" style="1" bestFit="1" customWidth="1"/>
    <col min="20" max="20" width="19.42578125" style="1" bestFit="1" customWidth="1"/>
    <col min="21" max="21" width="11.42578125" style="1"/>
    <col min="22" max="22" width="13" style="1" bestFit="1" customWidth="1"/>
    <col min="23" max="23" width="13" style="1" customWidth="1"/>
    <col min="24" max="24" width="23.28515625" style="1" bestFit="1" customWidth="1"/>
    <col min="25" max="25" width="11.42578125" style="1"/>
    <col min="26" max="26" width="18.28515625" style="1" customWidth="1"/>
    <col min="27" max="29" width="11.42578125" style="1"/>
    <col min="30" max="55" width="0" style="1" hidden="1" customWidth="1"/>
    <col min="56" max="56" width="14.140625" style="1" bestFit="1" customWidth="1"/>
    <col min="57" max="57" width="17.42578125" style="1" bestFit="1" customWidth="1"/>
    <col min="58" max="58" width="29.140625" style="1" bestFit="1" customWidth="1"/>
    <col min="59" max="59" width="11.42578125" style="1"/>
    <col min="60" max="60" width="17.42578125" style="1" bestFit="1" customWidth="1"/>
    <col min="61" max="16384" width="11.42578125" style="1"/>
  </cols>
  <sheetData>
    <row r="1" spans="1:58" ht="15.75" thickBot="1" x14ac:dyDescent="0.3">
      <c r="A1" s="2" t="s">
        <v>307</v>
      </c>
      <c r="B1" s="2" t="s">
        <v>98</v>
      </c>
      <c r="C1" s="2" t="s">
        <v>97</v>
      </c>
      <c r="D1" s="2"/>
      <c r="F1" s="2" t="s">
        <v>118</v>
      </c>
      <c r="G1" s="2" t="s">
        <v>75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109</v>
      </c>
      <c r="Q1" s="1" t="s">
        <v>110</v>
      </c>
      <c r="R1" s="1" t="s">
        <v>111</v>
      </c>
      <c r="S1" s="1" t="s">
        <v>107</v>
      </c>
      <c r="T1" s="1" t="s">
        <v>108</v>
      </c>
      <c r="V1" s="62" t="s">
        <v>143</v>
      </c>
      <c r="Y1" s="1" t="s">
        <v>349</v>
      </c>
      <c r="AD1" s="1" t="s">
        <v>99</v>
      </c>
      <c r="AF1" s="1" t="s">
        <v>100</v>
      </c>
      <c r="AH1" s="1" t="s">
        <v>101</v>
      </c>
      <c r="AJ1" s="1" t="s">
        <v>102</v>
      </c>
      <c r="AL1" s="1" t="s">
        <v>103</v>
      </c>
      <c r="AN1" s="1" t="s">
        <v>104</v>
      </c>
      <c r="AP1" s="1" t="s">
        <v>105</v>
      </c>
      <c r="AR1" s="1" t="s">
        <v>106</v>
      </c>
      <c r="AT1" s="1" t="s">
        <v>109</v>
      </c>
      <c r="AV1" s="1" t="s">
        <v>110</v>
      </c>
      <c r="AX1" s="1" t="s">
        <v>111</v>
      </c>
      <c r="AZ1" s="1" t="s">
        <v>107</v>
      </c>
      <c r="BB1" s="1" t="s">
        <v>108</v>
      </c>
      <c r="BD1" s="14" t="s">
        <v>99</v>
      </c>
      <c r="BE1" s="15" t="s">
        <v>326</v>
      </c>
      <c r="BF1" s="199" t="s">
        <v>327</v>
      </c>
    </row>
    <row r="2" spans="1:58" ht="15.75" customHeight="1" x14ac:dyDescent="0.25">
      <c r="A2" s="1">
        <v>2</v>
      </c>
      <c r="B2" s="1" t="s">
        <v>0</v>
      </c>
      <c r="C2" s="1" t="str">
        <f>H1</f>
        <v>LibreN3</v>
      </c>
      <c r="D2" s="1" t="s">
        <v>330</v>
      </c>
      <c r="E2" s="1" t="s">
        <v>84</v>
      </c>
      <c r="F2" s="1" t="s">
        <v>121</v>
      </c>
      <c r="G2">
        <v>1</v>
      </c>
      <c r="H2" s="219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1"/>
      <c r="V2" s="63" t="s">
        <v>144</v>
      </c>
      <c r="Y2" s="1" t="s">
        <v>148</v>
      </c>
      <c r="Z2" s="1" t="s">
        <v>149</v>
      </c>
      <c r="AA2" s="1" t="s">
        <v>150</v>
      </c>
      <c r="AB2" s="1" t="s">
        <v>350</v>
      </c>
      <c r="AD2" s="1" t="s">
        <v>15</v>
      </c>
      <c r="AE2" s="1" t="s">
        <v>157</v>
      </c>
      <c r="AF2" s="1" t="s">
        <v>16</v>
      </c>
      <c r="AG2" s="1" t="s">
        <v>161</v>
      </c>
      <c r="AH2" s="1" t="s">
        <v>17</v>
      </c>
      <c r="AI2" s="1" t="s">
        <v>171</v>
      </c>
      <c r="AJ2" s="1" t="s">
        <v>18</v>
      </c>
      <c r="AK2" s="1" t="s">
        <v>187</v>
      </c>
      <c r="AL2" s="1" t="s">
        <v>19</v>
      </c>
      <c r="AM2" s="1" t="s">
        <v>200</v>
      </c>
      <c r="AN2" s="1" t="s">
        <v>15</v>
      </c>
      <c r="AO2" s="1" t="s">
        <v>213</v>
      </c>
      <c r="AP2" s="1" t="s">
        <v>65</v>
      </c>
      <c r="AQ2" s="1" t="s">
        <v>221</v>
      </c>
      <c r="AR2" s="1" t="s">
        <v>29</v>
      </c>
      <c r="AS2" s="1" t="s">
        <v>198</v>
      </c>
      <c r="AT2" s="1" t="s">
        <v>15</v>
      </c>
      <c r="AU2" s="1" t="s">
        <v>235</v>
      </c>
      <c r="AV2" s="1" t="s">
        <v>24</v>
      </c>
      <c r="AW2" s="1" t="s">
        <v>239</v>
      </c>
      <c r="AX2" s="1" t="s">
        <v>22</v>
      </c>
      <c r="AY2" s="1" t="s">
        <v>245</v>
      </c>
      <c r="AZ2" s="1" t="s">
        <v>15</v>
      </c>
      <c r="BA2" s="1" t="s">
        <v>252</v>
      </c>
      <c r="BB2" s="1" t="s">
        <v>16</v>
      </c>
      <c r="BC2" s="1" t="s">
        <v>261</v>
      </c>
      <c r="BD2" s="17" t="s">
        <v>100</v>
      </c>
      <c r="BE2" s="1" t="s">
        <v>326</v>
      </c>
      <c r="BF2" s="200" t="s">
        <v>327</v>
      </c>
    </row>
    <row r="3" spans="1:58" ht="15" customHeight="1" x14ac:dyDescent="0.25">
      <c r="A3" s="1">
        <v>3</v>
      </c>
      <c r="B3" s="1" t="s">
        <v>1</v>
      </c>
      <c r="C3" s="1" t="str">
        <f>I1</f>
        <v>LibreR1</v>
      </c>
      <c r="D3" s="1" t="s">
        <v>331</v>
      </c>
      <c r="E3" s="1" t="s">
        <v>85</v>
      </c>
      <c r="F3" s="1" t="s">
        <v>119</v>
      </c>
      <c r="G3">
        <v>2</v>
      </c>
      <c r="H3" s="17" t="str">
        <f>IF('LISTES JOUEURS'!L3="","",'LISTES JOUEURS'!L3)</f>
        <v>OSWALD Christian</v>
      </c>
      <c r="I3" s="1" t="str">
        <f>IF('LISTES JOUEURS'!Q3="","",'LISTES JOUEURS'!Q3)</f>
        <v>CAMPOLI Jean louis</v>
      </c>
      <c r="J3" s="1" t="str">
        <f>IF('LISTES JOUEURS'!V3="","",'LISTES JOUEURS'!V3)</f>
        <v>SALET William</v>
      </c>
      <c r="K3" s="1" t="str">
        <f>IF('LISTES JOUEURS'!AA3="","",'LISTES JOUEURS'!AA3)</f>
        <v>PARISOT Dominique</v>
      </c>
      <c r="L3" s="1" t="str">
        <f>IF('LISTES JOUEURS'!AF3="","",'LISTES JOUEURS'!AF3)</f>
        <v>SPRUNCK Laurent</v>
      </c>
      <c r="M3" s="1" t="str">
        <f>IF('LISTES JOUEURS'!AZ3="","",'LISTES JOUEURS'!AZ3)</f>
        <v/>
      </c>
      <c r="N3" s="1" t="str">
        <f>IF('LISTES JOUEURS'!BE3="","",'LISTES JOUEURS'!BE3)</f>
        <v/>
      </c>
      <c r="O3" s="1" t="str">
        <f>IF('LISTES JOUEURS'!BJ3="","",'LISTES JOUEURS'!BJ3)</f>
        <v/>
      </c>
      <c r="P3" s="1" t="str">
        <f>IF('LISTES JOUEURS'!AK3="","",'LISTES JOUEURS'!AK3)</f>
        <v/>
      </c>
      <c r="Q3" s="1" t="str">
        <f>IF('LISTES JOUEURS'!AP3="","",'LISTES JOUEURS'!AP3)</f>
        <v/>
      </c>
      <c r="R3" s="1" t="str">
        <f>IF('LISTES JOUEURS'!AU3="","",'LISTES JOUEURS'!AU3)</f>
        <v/>
      </c>
      <c r="S3" s="1" t="str">
        <f>IF('LISTES JOUEURS'!B3="","",'LISTES JOUEURS'!B3)</f>
        <v>PANCALDI Walter</v>
      </c>
      <c r="T3" s="18" t="str">
        <f>IF('LISTES JOUEURS'!G3="","",'LISTES JOUEURS'!G3)</f>
        <v>BELLINI Jacques</v>
      </c>
      <c r="V3" s="63" t="s">
        <v>145</v>
      </c>
      <c r="X3" s="1" t="str">
        <f>Z3</f>
        <v>IPPOLITO Serge</v>
      </c>
      <c r="Y3" s="1">
        <v>14917</v>
      </c>
      <c r="Z3" s="1" t="s">
        <v>337</v>
      </c>
      <c r="AA3" s="1">
        <v>11.85</v>
      </c>
      <c r="AB3" s="1" t="s">
        <v>351</v>
      </c>
      <c r="AD3" s="1" t="s">
        <v>23</v>
      </c>
      <c r="AE3" s="1" t="s">
        <v>151</v>
      </c>
      <c r="AF3" s="1" t="s">
        <v>21</v>
      </c>
      <c r="AG3" s="1" t="s">
        <v>163</v>
      </c>
      <c r="AH3" s="1" t="s">
        <v>28</v>
      </c>
      <c r="AI3" s="1" t="s">
        <v>184</v>
      </c>
      <c r="AJ3" s="1" t="s">
        <v>29</v>
      </c>
      <c r="AK3" s="1" t="s">
        <v>189</v>
      </c>
      <c r="AL3" s="1" t="s">
        <v>30</v>
      </c>
      <c r="AM3" s="1" t="s">
        <v>201</v>
      </c>
      <c r="AN3" s="1" t="s">
        <v>23</v>
      </c>
      <c r="AO3" s="1" t="s">
        <v>211</v>
      </c>
      <c r="AP3" s="1" t="s">
        <v>29</v>
      </c>
      <c r="AQ3" s="1" t="s">
        <v>198</v>
      </c>
      <c r="AR3" s="1" t="s">
        <v>39</v>
      </c>
      <c r="AS3" s="1" t="s">
        <v>198</v>
      </c>
      <c r="AT3" s="1" t="s">
        <v>23</v>
      </c>
      <c r="AU3" s="1" t="s">
        <v>229</v>
      </c>
      <c r="AV3" s="1" t="s">
        <v>49</v>
      </c>
      <c r="AW3" s="1" t="s">
        <v>242</v>
      </c>
      <c r="AX3" s="1" t="s">
        <v>25</v>
      </c>
      <c r="AY3" s="1" t="s">
        <v>244</v>
      </c>
      <c r="AZ3" s="1" t="s">
        <v>23</v>
      </c>
      <c r="BA3" s="1" t="s">
        <v>250</v>
      </c>
      <c r="BB3" s="1" t="s">
        <v>17</v>
      </c>
      <c r="BC3" s="1" t="s">
        <v>259</v>
      </c>
      <c r="BD3" s="17" t="s">
        <v>101</v>
      </c>
      <c r="BE3" s="1" t="s">
        <v>326</v>
      </c>
      <c r="BF3" s="200" t="s">
        <v>327</v>
      </c>
    </row>
    <row r="4" spans="1:58" x14ac:dyDescent="0.25">
      <c r="A4" s="1">
        <v>4</v>
      </c>
      <c r="B4" s="1" t="s">
        <v>2</v>
      </c>
      <c r="C4" s="1" t="str">
        <f>J1</f>
        <v>LibreR2</v>
      </c>
      <c r="D4" s="1" t="s">
        <v>123</v>
      </c>
      <c r="E4" s="1" t="s">
        <v>86</v>
      </c>
      <c r="F4" s="1" t="s">
        <v>120</v>
      </c>
      <c r="G4">
        <v>3</v>
      </c>
      <c r="H4" s="17" t="str">
        <f>IF('LISTES JOUEURS'!L4="","",'LISTES JOUEURS'!L4)</f>
        <v>PONCET Francis</v>
      </c>
      <c r="I4" s="1" t="str">
        <f>IF('LISTES JOUEURS'!Q4="","",'LISTES JOUEURS'!Q4)</f>
        <v>LECLERC Philippe</v>
      </c>
      <c r="J4" s="1" t="str">
        <f>IF('LISTES JOUEURS'!V4="","",'LISTES JOUEURS'!V4)</f>
        <v>GOUVERNEL Pierre</v>
      </c>
      <c r="K4" s="1" t="str">
        <f>IF('LISTES JOUEURS'!AA4="","",'LISTES JOUEURS'!AA4)</f>
        <v>SACRISTANI Albert</v>
      </c>
      <c r="L4" s="1" t="str">
        <f>IF('LISTES JOUEURS'!AF4="","",'LISTES JOUEURS'!AF4)</f>
        <v/>
      </c>
      <c r="M4" s="1" t="str">
        <f>IF('LISTES JOUEURS'!AZ4="","",'LISTES JOUEURS'!AZ4)</f>
        <v/>
      </c>
      <c r="N4" s="1" t="str">
        <f>IF('LISTES JOUEURS'!BE4="","",'LISTES JOUEURS'!BE4)</f>
        <v/>
      </c>
      <c r="O4" s="1" t="str">
        <f>IF('LISTES JOUEURS'!BJ4="","",'LISTES JOUEURS'!BJ4)</f>
        <v/>
      </c>
      <c r="P4" s="1" t="str">
        <f>IF('LISTES JOUEURS'!AK4="","",'LISTES JOUEURS'!AK4)</f>
        <v/>
      </c>
      <c r="Q4" s="1" t="str">
        <f>IF('LISTES JOUEURS'!AP4="","",'LISTES JOUEURS'!AP4)</f>
        <v/>
      </c>
      <c r="R4" s="1" t="str">
        <f>IF('LISTES JOUEURS'!AU4="","",'LISTES JOUEURS'!AU4)</f>
        <v/>
      </c>
      <c r="S4" s="1" t="str">
        <f>IF('LISTES JOUEURS'!B4="","",'LISTES JOUEURS'!B4)</f>
        <v>OSWALD Christian</v>
      </c>
      <c r="T4" s="18" t="str">
        <f>IF('LISTES JOUEURS'!G4="","",'LISTES JOUEURS'!G4)</f>
        <v>GOUVERNEL Pierre</v>
      </c>
      <c r="V4" s="63" t="s">
        <v>146</v>
      </c>
      <c r="X4" s="1" t="str">
        <f t="shared" ref="X4:X76" si="0">Z4</f>
        <v>RECCHIA Bruno</v>
      </c>
      <c r="Y4" s="1">
        <v>143367</v>
      </c>
      <c r="Z4" s="1" t="s">
        <v>338</v>
      </c>
      <c r="AA4" s="1">
        <v>9.89</v>
      </c>
      <c r="AB4" s="1" t="s">
        <v>156</v>
      </c>
      <c r="AD4" s="1" t="s">
        <v>37</v>
      </c>
      <c r="AE4" s="1" t="s">
        <v>158</v>
      </c>
      <c r="AF4" s="1" t="s">
        <v>36</v>
      </c>
      <c r="AG4" s="1" t="s">
        <v>166</v>
      </c>
      <c r="AH4" s="1" t="s">
        <v>38</v>
      </c>
      <c r="AI4" s="1" t="s">
        <v>180</v>
      </c>
      <c r="AJ4" s="1" t="s">
        <v>39</v>
      </c>
      <c r="AK4" s="1" t="s">
        <v>190</v>
      </c>
      <c r="AL4" s="1" t="s">
        <v>22</v>
      </c>
      <c r="AM4" s="1" t="s">
        <v>199</v>
      </c>
      <c r="AN4" s="1" t="s">
        <v>31</v>
      </c>
      <c r="AO4" s="1" t="s">
        <v>210</v>
      </c>
      <c r="AP4" s="1" t="s">
        <v>38</v>
      </c>
      <c r="AQ4" s="1" t="s">
        <v>223</v>
      </c>
      <c r="AR4" s="1" t="s">
        <v>22</v>
      </c>
      <c r="AS4" s="1" t="s">
        <v>226</v>
      </c>
      <c r="AT4" s="1" t="s">
        <v>37</v>
      </c>
      <c r="AU4" s="1" t="s">
        <v>198</v>
      </c>
      <c r="AV4" s="1" t="s">
        <v>22</v>
      </c>
      <c r="AW4" s="1" t="s">
        <v>245</v>
      </c>
      <c r="AX4" s="1" t="s">
        <v>42</v>
      </c>
      <c r="AY4" s="1" t="s">
        <v>246</v>
      </c>
      <c r="AZ4" s="1" t="s">
        <v>21</v>
      </c>
      <c r="BA4" s="1" t="s">
        <v>253</v>
      </c>
      <c r="BB4" s="1" t="s">
        <v>65</v>
      </c>
      <c r="BC4" s="1" t="s">
        <v>265</v>
      </c>
      <c r="BD4" s="17" t="s">
        <v>102</v>
      </c>
      <c r="BE4" s="1" t="s">
        <v>326</v>
      </c>
      <c r="BF4" s="200" t="s">
        <v>327</v>
      </c>
    </row>
    <row r="5" spans="1:58" x14ac:dyDescent="0.25">
      <c r="A5" s="1">
        <v>5</v>
      </c>
      <c r="B5" s="1" t="s">
        <v>3</v>
      </c>
      <c r="C5" s="1" t="str">
        <f>K1</f>
        <v>LibreR3</v>
      </c>
      <c r="D5" s="1" t="s">
        <v>124</v>
      </c>
      <c r="E5" s="1" t="s">
        <v>87</v>
      </c>
      <c r="F5" s="1" t="s">
        <v>133</v>
      </c>
      <c r="G5">
        <v>4</v>
      </c>
      <c r="H5" s="17" t="str">
        <f>IF('LISTES JOUEURS'!L5="","",'LISTES JOUEURS'!L5)</f>
        <v>BONNEFOY Joel</v>
      </c>
      <c r="I5" s="1" t="str">
        <f>IF('LISTES JOUEURS'!Q5="","",'LISTES JOUEURS'!Q5)</f>
        <v>BELLINI Jacques</v>
      </c>
      <c r="J5" s="1" t="str">
        <f>IF('LISTES JOUEURS'!V5="","",'LISTES JOUEURS'!V5)</f>
        <v>MARCONI Dominique</v>
      </c>
      <c r="K5" s="1" t="str">
        <f>IF('LISTES JOUEURS'!AA5="","",'LISTES JOUEURS'!AA5)</f>
        <v>NEU Raymond</v>
      </c>
      <c r="L5" s="1" t="str">
        <f>IF('LISTES JOUEURS'!AF5="","",'LISTES JOUEURS'!AF5)</f>
        <v/>
      </c>
      <c r="M5" s="1" t="str">
        <f>IF('LISTES JOUEURS'!AZ5="","",'LISTES JOUEURS'!AZ5)</f>
        <v/>
      </c>
      <c r="N5" s="1" t="str">
        <f>IF('LISTES JOUEURS'!BE5="","",'LISTES JOUEURS'!BE5)</f>
        <v/>
      </c>
      <c r="O5" s="1" t="str">
        <f>IF('LISTES JOUEURS'!BJ5="","",'LISTES JOUEURS'!BJ5)</f>
        <v/>
      </c>
      <c r="P5" s="1" t="str">
        <f>IF('LISTES JOUEURS'!AK5="","",'LISTES JOUEURS'!AK5)</f>
        <v/>
      </c>
      <c r="Q5" s="1" t="str">
        <f>IF('LISTES JOUEURS'!AP5="","",'LISTES JOUEURS'!AP5)</f>
        <v/>
      </c>
      <c r="R5" s="1" t="str">
        <f>IF('LISTES JOUEURS'!AU5="","",'LISTES JOUEURS'!AU5)</f>
        <v/>
      </c>
      <c r="S5" s="1" t="str">
        <f>IF('LISTES JOUEURS'!B5="","",'LISTES JOUEURS'!B5)</f>
        <v>LECLERC Philippe</v>
      </c>
      <c r="T5" s="18" t="str">
        <f>IF('LISTES JOUEURS'!G5="","",'LISTES JOUEURS'!G5)</f>
        <v>BONNEFOY Joel</v>
      </c>
      <c r="V5" s="63" t="s">
        <v>147</v>
      </c>
      <c r="X5" s="1" t="str">
        <f t="shared" si="0"/>
        <v>PIERSON Marc</v>
      </c>
      <c r="Y5" s="1">
        <v>15157</v>
      </c>
      <c r="Z5" s="1" t="s">
        <v>339</v>
      </c>
      <c r="AA5" s="1">
        <v>9.57</v>
      </c>
      <c r="AB5" s="1" t="s">
        <v>154</v>
      </c>
      <c r="AD5" s="1" t="s">
        <v>31</v>
      </c>
      <c r="AE5" s="1" t="s">
        <v>153</v>
      </c>
      <c r="AF5" s="1" t="s">
        <v>40</v>
      </c>
      <c r="AG5" s="1" t="s">
        <v>167</v>
      </c>
      <c r="AH5" s="1" t="s">
        <v>43</v>
      </c>
      <c r="AI5" s="1" t="s">
        <v>183</v>
      </c>
      <c r="AJ5" s="1" t="s">
        <v>44</v>
      </c>
      <c r="AK5" s="1" t="s">
        <v>191</v>
      </c>
      <c r="AL5" s="1" t="s">
        <v>45</v>
      </c>
      <c r="AM5" s="1" t="s">
        <v>202</v>
      </c>
      <c r="AN5" s="1" t="s">
        <v>36</v>
      </c>
      <c r="AO5" s="1" t="s">
        <v>214</v>
      </c>
      <c r="AP5" s="1" t="s">
        <v>43</v>
      </c>
      <c r="AQ5" s="1" t="s">
        <v>225</v>
      </c>
      <c r="AR5" s="1" t="s">
        <v>42</v>
      </c>
      <c r="AS5" s="1" t="s">
        <v>198</v>
      </c>
      <c r="AT5" s="1" t="s">
        <v>68</v>
      </c>
      <c r="AU5" s="1" t="s">
        <v>236</v>
      </c>
      <c r="AV5" s="1" t="s">
        <v>41</v>
      </c>
      <c r="AW5" s="1" t="s">
        <v>241</v>
      </c>
      <c r="AZ5" s="1" t="s">
        <v>26</v>
      </c>
      <c r="BA5" s="1" t="s">
        <v>248</v>
      </c>
      <c r="BB5" s="1" t="s">
        <v>29</v>
      </c>
      <c r="BC5" s="1" t="s">
        <v>198</v>
      </c>
      <c r="BD5" s="17" t="s">
        <v>103</v>
      </c>
      <c r="BE5" s="1" t="s">
        <v>326</v>
      </c>
      <c r="BF5" s="200" t="s">
        <v>327</v>
      </c>
    </row>
    <row r="6" spans="1:58" ht="15.75" thickBot="1" x14ac:dyDescent="0.3">
      <c r="A6" s="1">
        <v>6</v>
      </c>
      <c r="B6" s="1" t="s">
        <v>4</v>
      </c>
      <c r="C6" s="1" t="str">
        <f>L1</f>
        <v>LibreR4</v>
      </c>
      <c r="D6" s="1" t="s">
        <v>125</v>
      </c>
      <c r="E6" s="1" t="s">
        <v>88</v>
      </c>
      <c r="G6">
        <v>5</v>
      </c>
      <c r="H6" s="17" t="str">
        <f>IF('LISTES JOUEURS'!L6="","",'LISTES JOUEURS'!L6)</f>
        <v>SCHWARTZ Julien</v>
      </c>
      <c r="I6" s="1" t="str">
        <f>IF('LISTES JOUEURS'!Q6="","",'LISTES JOUEURS'!Q6)</f>
        <v/>
      </c>
      <c r="J6" s="1" t="str">
        <f>IF('LISTES JOUEURS'!V6="","",'LISTES JOUEURS'!V6)</f>
        <v>MALVAREZ Jean</v>
      </c>
      <c r="K6" s="1" t="str">
        <f>IF('LISTES JOUEURS'!AA6="","",'LISTES JOUEURS'!AA6)</f>
        <v>POIROT Dominique</v>
      </c>
      <c r="L6" s="1" t="str">
        <f>IF('LISTES JOUEURS'!AF6="","",'LISTES JOUEURS'!AF6)</f>
        <v/>
      </c>
      <c r="M6" s="1" t="str">
        <f>IF('LISTES JOUEURS'!AZ6="","",'LISTES JOUEURS'!AZ6)</f>
        <v/>
      </c>
      <c r="N6" s="1" t="str">
        <f>IF('LISTES JOUEURS'!BE6="","",'LISTES JOUEURS'!BE6)</f>
        <v/>
      </c>
      <c r="O6" s="1" t="str">
        <f>IF('LISTES JOUEURS'!BJ6="","",'LISTES JOUEURS'!BJ6)</f>
        <v/>
      </c>
      <c r="P6" s="1" t="str">
        <f>IF('LISTES JOUEURS'!AK6="","",'LISTES JOUEURS'!AK6)</f>
        <v/>
      </c>
      <c r="Q6" s="1" t="str">
        <f>IF('LISTES JOUEURS'!AP6="","",'LISTES JOUEURS'!AP6)</f>
        <v/>
      </c>
      <c r="R6" s="1" t="str">
        <f>IF('LISTES JOUEURS'!AU6="","",'LISTES JOUEURS'!AU6)</f>
        <v/>
      </c>
      <c r="S6" s="1" t="str">
        <f>IF('LISTES JOUEURS'!B6="","",'LISTES JOUEURS'!B6)</f>
        <v>INFANTINO Bénédetto</v>
      </c>
      <c r="T6" s="18" t="str">
        <f>IF('LISTES JOUEURS'!G6="","",'LISTES JOUEURS'!G6)</f>
        <v>FRANCK Pascal</v>
      </c>
      <c r="V6" s="64" t="s">
        <v>273</v>
      </c>
      <c r="X6" s="1" t="str">
        <f t="shared" si="0"/>
        <v>PANCALDI Walter</v>
      </c>
      <c r="Y6" s="1">
        <v>136060</v>
      </c>
      <c r="Z6" s="1" t="s">
        <v>52</v>
      </c>
      <c r="AA6" s="1">
        <v>8.1999999999999993</v>
      </c>
      <c r="AB6" s="1" t="s">
        <v>156</v>
      </c>
      <c r="AD6" s="1" t="s">
        <v>52</v>
      </c>
      <c r="AE6" s="1" t="s">
        <v>155</v>
      </c>
      <c r="AF6" s="1" t="s">
        <v>34</v>
      </c>
      <c r="AG6" s="1" t="s">
        <v>165</v>
      </c>
      <c r="AH6" s="1" t="s">
        <v>41</v>
      </c>
      <c r="AI6" s="1" t="s">
        <v>179</v>
      </c>
      <c r="AJ6" s="1" t="s">
        <v>53</v>
      </c>
      <c r="AK6" s="1" t="s">
        <v>196</v>
      </c>
      <c r="AL6" s="1" t="s">
        <v>54</v>
      </c>
      <c r="AM6" s="1" t="s">
        <v>205</v>
      </c>
      <c r="AN6" s="1" t="s">
        <v>20</v>
      </c>
      <c r="AO6" s="1" t="s">
        <v>209</v>
      </c>
      <c r="AP6" s="1" t="s">
        <v>39</v>
      </c>
      <c r="AQ6" s="1" t="s">
        <v>198</v>
      </c>
      <c r="AR6" s="1" t="s">
        <v>33</v>
      </c>
      <c r="AS6" s="1" t="s">
        <v>227</v>
      </c>
      <c r="AT6" s="1" t="s">
        <v>40</v>
      </c>
      <c r="AU6" s="1" t="s">
        <v>238</v>
      </c>
      <c r="AV6" s="1" t="s">
        <v>25</v>
      </c>
      <c r="AW6" s="1" t="s">
        <v>244</v>
      </c>
      <c r="AZ6" s="1" t="s">
        <v>40</v>
      </c>
      <c r="BA6" s="1" t="s">
        <v>254</v>
      </c>
      <c r="BB6" s="1" t="s">
        <v>38</v>
      </c>
      <c r="BC6" s="1" t="s">
        <v>266</v>
      </c>
      <c r="BD6" s="17" t="s">
        <v>104</v>
      </c>
      <c r="BE6" s="1" t="s">
        <v>334</v>
      </c>
      <c r="BF6" s="198" t="s">
        <v>333</v>
      </c>
    </row>
    <row r="7" spans="1:58" x14ac:dyDescent="0.25">
      <c r="A7" s="1">
        <v>7</v>
      </c>
      <c r="B7" s="1" t="s">
        <v>5</v>
      </c>
      <c r="C7" s="1" t="str">
        <f>M1</f>
        <v>BandeN3</v>
      </c>
      <c r="D7" s="1" t="s">
        <v>124</v>
      </c>
      <c r="E7" s="1" t="s">
        <v>89</v>
      </c>
      <c r="G7">
        <v>6</v>
      </c>
      <c r="H7" s="17" t="str">
        <f>IF('LISTES JOUEURS'!L7="","",'LISTES JOUEURS'!L7)</f>
        <v>MARTIN Benoit</v>
      </c>
      <c r="I7" s="1" t="str">
        <f>IF('LISTES JOUEURS'!Q7="","",'LISTES JOUEURS'!Q7)</f>
        <v/>
      </c>
      <c r="J7" s="1" t="str">
        <f>IF('LISTES JOUEURS'!V7="","",'LISTES JOUEURS'!V7)</f>
        <v>LEGRAND Robert</v>
      </c>
      <c r="K7" s="1" t="str">
        <f>IF('LISTES JOUEURS'!AA7="","",'LISTES JOUEURS'!AA7)</f>
        <v>CATTIN Gilles</v>
      </c>
      <c r="L7" s="1" t="str">
        <f>IF('LISTES JOUEURS'!AF7="","",'LISTES JOUEURS'!AF7)</f>
        <v/>
      </c>
      <c r="M7" s="1" t="str">
        <f>IF('LISTES JOUEURS'!AZ7="","",'LISTES JOUEURS'!AZ7)</f>
        <v/>
      </c>
      <c r="N7" s="1" t="str">
        <f>IF('LISTES JOUEURS'!BE7="","",'LISTES JOUEURS'!BE7)</f>
        <v/>
      </c>
      <c r="O7" s="1" t="str">
        <f>IF('LISTES JOUEURS'!BJ7="","",'LISTES JOUEURS'!BJ7)</f>
        <v/>
      </c>
      <c r="P7" s="1" t="str">
        <f>IF('LISTES JOUEURS'!AK7="","",'LISTES JOUEURS'!AK7)</f>
        <v/>
      </c>
      <c r="Q7" s="1" t="str">
        <f>IF('LISTES JOUEURS'!AP7="","",'LISTES JOUEURS'!AP7)</f>
        <v/>
      </c>
      <c r="R7" s="1" t="str">
        <f>IF('LISTES JOUEURS'!AU7="","",'LISTES JOUEURS'!AU7)</f>
        <v/>
      </c>
      <c r="S7" s="1" t="str">
        <f>IF('LISTES JOUEURS'!B7="","",'LISTES JOUEURS'!B7)</f>
        <v>MESA José</v>
      </c>
      <c r="T7" s="18" t="str">
        <f>IF('LISTES JOUEURS'!G7="","",'LISTES JOUEURS'!G7)</f>
        <v>LENA Daniel</v>
      </c>
      <c r="X7" s="1" t="str">
        <f t="shared" si="0"/>
        <v>STAUB Roland</v>
      </c>
      <c r="Y7" s="1">
        <v>14907</v>
      </c>
      <c r="Z7" s="1" t="s">
        <v>340</v>
      </c>
      <c r="AA7" s="1">
        <v>7.33</v>
      </c>
      <c r="AB7" s="1" t="s">
        <v>162</v>
      </c>
      <c r="AF7" s="1" t="s">
        <v>20</v>
      </c>
      <c r="AG7" s="1" t="s">
        <v>159</v>
      </c>
      <c r="AH7" s="1" t="s">
        <v>56</v>
      </c>
      <c r="AI7" s="1" t="s">
        <v>168</v>
      </c>
      <c r="AJ7" s="1" t="s">
        <v>42</v>
      </c>
      <c r="AK7" s="1" t="s">
        <v>195</v>
      </c>
      <c r="AL7" s="1" t="s">
        <v>57</v>
      </c>
      <c r="AM7" s="1" t="s">
        <v>207</v>
      </c>
      <c r="AN7" s="1" t="s">
        <v>46</v>
      </c>
      <c r="AO7" s="1" t="s">
        <v>212</v>
      </c>
      <c r="AP7" s="1" t="s">
        <v>22</v>
      </c>
      <c r="AQ7" s="1" t="s">
        <v>226</v>
      </c>
      <c r="AT7" s="1" t="s">
        <v>55</v>
      </c>
      <c r="AU7" s="1" t="s">
        <v>232</v>
      </c>
      <c r="AV7" s="1" t="s">
        <v>42</v>
      </c>
      <c r="AW7" s="1" t="s">
        <v>246</v>
      </c>
      <c r="AZ7" s="1" t="s">
        <v>34</v>
      </c>
      <c r="BA7" s="1" t="s">
        <v>255</v>
      </c>
      <c r="BB7" s="1" t="s">
        <v>43</v>
      </c>
      <c r="BC7" s="1" t="s">
        <v>212</v>
      </c>
      <c r="BD7" s="17" t="s">
        <v>105</v>
      </c>
      <c r="BE7" s="1" t="s">
        <v>334</v>
      </c>
      <c r="BF7" s="198" t="s">
        <v>333</v>
      </c>
    </row>
    <row r="8" spans="1:58" x14ac:dyDescent="0.25">
      <c r="A8" s="1">
        <v>8</v>
      </c>
      <c r="B8" s="1" t="s">
        <v>6</v>
      </c>
      <c r="C8" s="1" t="str">
        <f>N1</f>
        <v>BandeR1</v>
      </c>
      <c r="D8" s="1" t="s">
        <v>126</v>
      </c>
      <c r="E8" s="1" t="s">
        <v>90</v>
      </c>
      <c r="G8">
        <v>7</v>
      </c>
      <c r="H8" s="17" t="str">
        <f>IF('LISTES JOUEURS'!L8="","",'LISTES JOUEURS'!L8)</f>
        <v/>
      </c>
      <c r="I8" s="1" t="str">
        <f>IF('LISTES JOUEURS'!Q8="","",'LISTES JOUEURS'!Q8)</f>
        <v/>
      </c>
      <c r="J8" s="1" t="str">
        <f>IF('LISTES JOUEURS'!V8="","",'LISTES JOUEURS'!V8)</f>
        <v>LENA Daniel</v>
      </c>
      <c r="K8" s="1" t="str">
        <f>IF('LISTES JOUEURS'!AA8="","",'LISTES JOUEURS'!AA8)</f>
        <v>VASCONCELOS Emmanuel</v>
      </c>
      <c r="L8" s="1" t="str">
        <f>IF('LISTES JOUEURS'!AF8="","",'LISTES JOUEURS'!AF8)</f>
        <v/>
      </c>
      <c r="M8" s="1" t="str">
        <f>IF('LISTES JOUEURS'!AZ8="","",'LISTES JOUEURS'!AZ8)</f>
        <v/>
      </c>
      <c r="N8" s="1" t="str">
        <f>IF('LISTES JOUEURS'!BE8="","",'LISTES JOUEURS'!BE8)</f>
        <v/>
      </c>
      <c r="O8" s="1" t="str">
        <f>IF('LISTES JOUEURS'!BJ8="","",'LISTES JOUEURS'!BJ8)</f>
        <v/>
      </c>
      <c r="P8" s="1" t="str">
        <f>IF('LISTES JOUEURS'!AK8="","",'LISTES JOUEURS'!AK8)</f>
        <v/>
      </c>
      <c r="Q8" s="1" t="str">
        <f>IF('LISTES JOUEURS'!AP8="","",'LISTES JOUEURS'!AP8)</f>
        <v/>
      </c>
      <c r="R8" s="1" t="str">
        <f>IF('LISTES JOUEURS'!AU8="","",'LISTES JOUEURS'!AU8)</f>
        <v/>
      </c>
      <c r="S8" s="1" t="str">
        <f>IF('LISTES JOUEURS'!B8="","",'LISTES JOUEURS'!B8)</f>
        <v>SCHWARTZ Julien</v>
      </c>
      <c r="T8" s="18" t="str">
        <f>IF('LISTES JOUEURS'!G8="","",'LISTES JOUEURS'!G8)</f>
        <v>MALVAREZ Jean</v>
      </c>
      <c r="X8" s="1" t="str">
        <f t="shared" si="0"/>
        <v>BELLINI Jacques</v>
      </c>
      <c r="Y8" s="1">
        <v>14895</v>
      </c>
      <c r="Z8" s="1" t="s">
        <v>23</v>
      </c>
      <c r="AA8" s="1">
        <v>6.48</v>
      </c>
      <c r="AB8" s="1" t="s">
        <v>152</v>
      </c>
      <c r="AH8" s="1" t="s">
        <v>51</v>
      </c>
      <c r="AI8" s="1" t="s">
        <v>174</v>
      </c>
      <c r="AJ8" s="1" t="s">
        <v>59</v>
      </c>
      <c r="AK8" s="1" t="s">
        <v>198</v>
      </c>
      <c r="AL8" s="1" t="s">
        <v>60</v>
      </c>
      <c r="AM8" s="1" t="s">
        <v>204</v>
      </c>
      <c r="AP8" s="1" t="s">
        <v>41</v>
      </c>
      <c r="AQ8" s="1" t="s">
        <v>224</v>
      </c>
      <c r="AT8" s="1" t="s">
        <v>20</v>
      </c>
      <c r="AU8" s="1" t="s">
        <v>229</v>
      </c>
      <c r="AV8" s="1" t="s">
        <v>34</v>
      </c>
      <c r="AW8" s="1" t="s">
        <v>240</v>
      </c>
      <c r="AZ8" s="1" t="s">
        <v>50</v>
      </c>
      <c r="BA8" s="1" t="s">
        <v>251</v>
      </c>
      <c r="BB8" s="1" t="s">
        <v>73</v>
      </c>
      <c r="BC8" s="1" t="s">
        <v>267</v>
      </c>
      <c r="BD8" s="17" t="s">
        <v>106</v>
      </c>
      <c r="BE8" s="1" t="s">
        <v>334</v>
      </c>
      <c r="BF8" s="198" t="s">
        <v>333</v>
      </c>
    </row>
    <row r="9" spans="1:58" x14ac:dyDescent="0.25">
      <c r="A9" s="1">
        <v>9</v>
      </c>
      <c r="B9" s="1" t="s">
        <v>7</v>
      </c>
      <c r="C9" s="1" t="str">
        <f>O1</f>
        <v>BandeR2</v>
      </c>
      <c r="D9" s="1" t="s">
        <v>127</v>
      </c>
      <c r="E9" s="1" t="s">
        <v>91</v>
      </c>
      <c r="G9">
        <v>8</v>
      </c>
      <c r="H9" s="17" t="str">
        <f>IF('LISTES JOUEURS'!L9="","",'LISTES JOUEURS'!L9)</f>
        <v/>
      </c>
      <c r="I9" s="1" t="str">
        <f>IF('LISTES JOUEURS'!Q9="","",'LISTES JOUEURS'!Q9)</f>
        <v/>
      </c>
      <c r="J9" s="1" t="str">
        <f>IF('LISTES JOUEURS'!V9="","",'LISTES JOUEURS'!V9)</f>
        <v>RUZZON Bruno</v>
      </c>
      <c r="K9" s="1" t="str">
        <f>IF('LISTES JOUEURS'!AA9="","",'LISTES JOUEURS'!AA9)</f>
        <v>SCALISI Alfio</v>
      </c>
      <c r="L9" s="1" t="str">
        <f>IF('LISTES JOUEURS'!AF9="","",'LISTES JOUEURS'!AF9)</f>
        <v/>
      </c>
      <c r="M9" s="1" t="str">
        <f>IF('LISTES JOUEURS'!AZ9="","",'LISTES JOUEURS'!AZ9)</f>
        <v/>
      </c>
      <c r="N9" s="1" t="str">
        <f>IF('LISTES JOUEURS'!BE9="","",'LISTES JOUEURS'!BE9)</f>
        <v/>
      </c>
      <c r="O9" s="1" t="str">
        <f>IF('LISTES JOUEURS'!BJ9="","",'LISTES JOUEURS'!BJ9)</f>
        <v/>
      </c>
      <c r="P9" s="1" t="str">
        <f>IF('LISTES JOUEURS'!AK9="","",'LISTES JOUEURS'!AK9)</f>
        <v/>
      </c>
      <c r="Q9" s="1" t="str">
        <f>IF('LISTES JOUEURS'!AP9="","",'LISTES JOUEURS'!AP9)</f>
        <v/>
      </c>
      <c r="R9" s="1" t="str">
        <f>IF('LISTES JOUEURS'!AU9="","",'LISTES JOUEURS'!AU9)</f>
        <v/>
      </c>
      <c r="S9" s="1" t="str">
        <f>IF('LISTES JOUEURS'!B9="","",'LISTES JOUEURS'!B9)</f>
        <v>KLEIN Christophe</v>
      </c>
      <c r="T9" s="18" t="str">
        <f>IF('LISTES JOUEURS'!G9="","",'LISTES JOUEURS'!G9)</f>
        <v>LEGRAND Robert</v>
      </c>
      <c r="V9" s="1">
        <f>'INSCRIPTION DES JOUEURS'!E10</f>
        <v>0</v>
      </c>
      <c r="Y9" s="1" t="s">
        <v>352</v>
      </c>
      <c r="AH9" s="1" t="s">
        <v>63</v>
      </c>
      <c r="AI9" s="1" t="s">
        <v>169</v>
      </c>
      <c r="AJ9" s="1" t="s">
        <v>58</v>
      </c>
      <c r="AK9" s="1" t="s">
        <v>188</v>
      </c>
      <c r="AL9" s="1" t="s">
        <v>64</v>
      </c>
      <c r="AM9" s="1" t="s">
        <v>206</v>
      </c>
      <c r="AP9" s="1" t="s">
        <v>21</v>
      </c>
      <c r="AQ9" s="1" t="s">
        <v>193</v>
      </c>
      <c r="AT9" s="1" t="s">
        <v>32</v>
      </c>
      <c r="AU9" s="1" t="s">
        <v>230</v>
      </c>
      <c r="AV9" s="1" t="s">
        <v>33</v>
      </c>
      <c r="AW9" s="1" t="s">
        <v>243</v>
      </c>
      <c r="AZ9" s="1" t="s">
        <v>35</v>
      </c>
      <c r="BA9" s="1" t="s">
        <v>249</v>
      </c>
      <c r="BB9" s="1" t="s">
        <v>27</v>
      </c>
      <c r="BC9" s="1" t="s">
        <v>257</v>
      </c>
      <c r="BD9" s="17" t="s">
        <v>109</v>
      </c>
      <c r="BE9" s="1" t="s">
        <v>334</v>
      </c>
      <c r="BF9" s="198" t="s">
        <v>333</v>
      </c>
    </row>
    <row r="10" spans="1:58" x14ac:dyDescent="0.25">
      <c r="B10" s="1" t="s">
        <v>8</v>
      </c>
      <c r="C10" s="1" t="str">
        <f>P1</f>
        <v>TroisBandesN3</v>
      </c>
      <c r="D10" s="1" t="s">
        <v>128</v>
      </c>
      <c r="E10" s="1" t="s">
        <v>92</v>
      </c>
      <c r="G10">
        <v>9</v>
      </c>
      <c r="H10" s="17" t="str">
        <f>IF('LISTES JOUEURS'!L10="","",'LISTES JOUEURS'!L10)</f>
        <v/>
      </c>
      <c r="I10" s="1" t="str">
        <f>IF('LISTES JOUEURS'!Q10="","",'LISTES JOUEURS'!Q10)</f>
        <v/>
      </c>
      <c r="J10" s="1" t="str">
        <f>IF('LISTES JOUEURS'!V10="","",'LISTES JOUEURS'!V10)</f>
        <v>HOEFFEL Pierre</v>
      </c>
      <c r="K10" s="1" t="str">
        <f>IF('LISTES JOUEURS'!AA10="","",'LISTES JOUEURS'!AA10)</f>
        <v>DE VREESE Pierre</v>
      </c>
      <c r="L10" s="1" t="str">
        <f>IF('LISTES JOUEURS'!AF10="","",'LISTES JOUEURS'!AF10)</f>
        <v/>
      </c>
      <c r="M10" s="1" t="str">
        <f>IF('LISTES JOUEURS'!AZ10="","",'LISTES JOUEURS'!AZ10)</f>
        <v/>
      </c>
      <c r="N10" s="1" t="str">
        <f>IF('LISTES JOUEURS'!BE10="","",'LISTES JOUEURS'!BE10)</f>
        <v/>
      </c>
      <c r="O10" s="1" t="str">
        <f>IF('LISTES JOUEURS'!BJ10="","",'LISTES JOUEURS'!BJ10)</f>
        <v/>
      </c>
      <c r="P10" s="1" t="str">
        <f>IF('LISTES JOUEURS'!AK10="","",'LISTES JOUEURS'!AK10)</f>
        <v/>
      </c>
      <c r="Q10" s="1" t="str">
        <f>IF('LISTES JOUEURS'!AP10="","",'LISTES JOUEURS'!AP10)</f>
        <v/>
      </c>
      <c r="R10" s="1" t="str">
        <f>IF('LISTES JOUEURS'!AU10="","",'LISTES JOUEURS'!AU10)</f>
        <v/>
      </c>
      <c r="S10" s="1" t="str">
        <f>IF('LISTES JOUEURS'!B10="","",'LISTES JOUEURS'!B10)</f>
        <v>MARCONI Dominique</v>
      </c>
      <c r="T10" s="18" t="str">
        <f>IF('LISTES JOUEURS'!G10="","",'LISTES JOUEURS'!G10)</f>
        <v>RUZZON Bruno</v>
      </c>
      <c r="V10" s="1" t="str">
        <f>IF(V9="","",IF(V9=H1,V5,IF(OR(V9=I1,V9=J1,V9=K1,V9=L1),V4,IF(OR(V9=S1,V9=T1),V6,V2))))</f>
        <v>2m80</v>
      </c>
      <c r="X10" s="1" t="str">
        <f t="shared" si="0"/>
        <v>Nom</v>
      </c>
      <c r="Y10" s="1" t="s">
        <v>148</v>
      </c>
      <c r="Z10" s="1" t="s">
        <v>149</v>
      </c>
      <c r="AA10" s="1" t="s">
        <v>150</v>
      </c>
      <c r="AB10" s="1" t="s">
        <v>350</v>
      </c>
      <c r="AH10" s="1" t="s">
        <v>61</v>
      </c>
      <c r="AI10" s="1" t="s">
        <v>176</v>
      </c>
      <c r="AJ10" s="1" t="s">
        <v>67</v>
      </c>
      <c r="AK10" s="1" t="s">
        <v>193</v>
      </c>
      <c r="AP10" s="1" t="s">
        <v>40</v>
      </c>
      <c r="AQ10" s="1" t="s">
        <v>216</v>
      </c>
      <c r="AT10" s="1" t="s">
        <v>70</v>
      </c>
      <c r="AU10" s="1" t="s">
        <v>237</v>
      </c>
      <c r="AZ10" s="1" t="s">
        <v>47</v>
      </c>
      <c r="BA10" s="1" t="s">
        <v>256</v>
      </c>
      <c r="BB10" s="1" t="s">
        <v>22</v>
      </c>
      <c r="BC10" s="1" t="s">
        <v>198</v>
      </c>
      <c r="BD10" s="17" t="s">
        <v>110</v>
      </c>
      <c r="BE10" s="1" t="s">
        <v>334</v>
      </c>
      <c r="BF10" s="198" t="s">
        <v>333</v>
      </c>
    </row>
    <row r="11" spans="1:58" x14ac:dyDescent="0.25">
      <c r="B11" s="1" t="s">
        <v>9</v>
      </c>
      <c r="C11" s="1" t="str">
        <f>Q1</f>
        <v>TroisBandesR1</v>
      </c>
      <c r="D11" s="1" t="s">
        <v>129</v>
      </c>
      <c r="E11" s="1" t="s">
        <v>93</v>
      </c>
      <c r="G11">
        <v>10</v>
      </c>
      <c r="H11" s="17" t="str">
        <f>IF('LISTES JOUEURS'!L11="","",'LISTES JOUEURS'!L11)</f>
        <v/>
      </c>
      <c r="I11" s="1" t="str">
        <f>IF('LISTES JOUEURS'!Q11="","",'LISTES JOUEURS'!Q11)</f>
        <v/>
      </c>
      <c r="J11" s="1" t="str">
        <f>IF('LISTES JOUEURS'!V11="","",'LISTES JOUEURS'!V11)</f>
        <v>RONCK Denis</v>
      </c>
      <c r="K11" s="1" t="str">
        <f>IF('LISTES JOUEURS'!AA11="","",'LISTES JOUEURS'!AA11)</f>
        <v>LEICHTNAM Hugues</v>
      </c>
      <c r="L11" s="1" t="str">
        <f>IF('LISTES JOUEURS'!AF11="","",'LISTES JOUEURS'!AF11)</f>
        <v/>
      </c>
      <c r="M11" s="1" t="str">
        <f>IF('LISTES JOUEURS'!AZ11="","",'LISTES JOUEURS'!AZ11)</f>
        <v/>
      </c>
      <c r="N11" s="1" t="str">
        <f>IF('LISTES JOUEURS'!BE11="","",'LISTES JOUEURS'!BE11)</f>
        <v/>
      </c>
      <c r="O11" s="1" t="str">
        <f>IF('LISTES JOUEURS'!BJ11="","",'LISTES JOUEURS'!BJ11)</f>
        <v/>
      </c>
      <c r="P11" s="1" t="str">
        <f>IF('LISTES JOUEURS'!AK11="","",'LISTES JOUEURS'!AK11)</f>
        <v/>
      </c>
      <c r="Q11" s="1" t="str">
        <f>IF('LISTES JOUEURS'!AP11="","",'LISTES JOUEURS'!AP11)</f>
        <v/>
      </c>
      <c r="R11" s="1" t="str">
        <f>IF('LISTES JOUEURS'!AU11="","",'LISTES JOUEURS'!AU11)</f>
        <v/>
      </c>
      <c r="S11" s="1" t="str">
        <f>IF('LISTES JOUEURS'!B11="","",'LISTES JOUEURS'!B11)</f>
        <v/>
      </c>
      <c r="T11" s="18" t="str">
        <f>IF('LISTES JOUEURS'!G11="","",'LISTES JOUEURS'!G11)</f>
        <v>VADALA Gino</v>
      </c>
      <c r="X11" s="1" t="str">
        <f t="shared" si="0"/>
        <v>LECLERC Philippe</v>
      </c>
      <c r="Y11" s="1">
        <v>119610</v>
      </c>
      <c r="Z11" s="1" t="s">
        <v>36</v>
      </c>
      <c r="AA11" s="1">
        <v>5.86</v>
      </c>
      <c r="AB11" s="1" t="s">
        <v>164</v>
      </c>
      <c r="AH11" s="1" t="s">
        <v>48</v>
      </c>
      <c r="AI11" s="1" t="s">
        <v>172</v>
      </c>
      <c r="AJ11" s="1" t="s">
        <v>69</v>
      </c>
      <c r="AK11" s="1" t="s">
        <v>192</v>
      </c>
      <c r="AP11" s="1" t="s">
        <v>42</v>
      </c>
      <c r="AQ11" s="1" t="s">
        <v>198</v>
      </c>
      <c r="AT11" s="1" t="s">
        <v>58</v>
      </c>
      <c r="AU11" s="1" t="s">
        <v>233</v>
      </c>
      <c r="BB11" s="1" t="s">
        <v>41</v>
      </c>
      <c r="BC11" s="1" t="s">
        <v>262</v>
      </c>
      <c r="BD11" s="17" t="s">
        <v>111</v>
      </c>
      <c r="BE11" s="1" t="s">
        <v>334</v>
      </c>
      <c r="BF11" s="198" t="s">
        <v>333</v>
      </c>
    </row>
    <row r="12" spans="1:58" x14ac:dyDescent="0.25">
      <c r="B12" s="1" t="s">
        <v>10</v>
      </c>
      <c r="C12" s="1" t="str">
        <f>R1</f>
        <v>TroisBandesR2</v>
      </c>
      <c r="D12" s="1" t="s">
        <v>129</v>
      </c>
      <c r="E12" s="1" t="s">
        <v>96</v>
      </c>
      <c r="G12">
        <v>11</v>
      </c>
      <c r="H12" s="17" t="str">
        <f>IF('LISTES JOUEURS'!L12="","",'LISTES JOUEURS'!L12)</f>
        <v/>
      </c>
      <c r="I12" s="1" t="str">
        <f>IF('LISTES JOUEURS'!Q12="","",'LISTES JOUEURS'!Q12)</f>
        <v/>
      </c>
      <c r="J12" s="1" t="str">
        <f>IF('LISTES JOUEURS'!V12="","",'LISTES JOUEURS'!V12)</f>
        <v/>
      </c>
      <c r="K12" s="1" t="str">
        <f>IF('LISTES JOUEURS'!AA12="","",'LISTES JOUEURS'!AA12)</f>
        <v>DEFLORAINE Daphné</v>
      </c>
      <c r="L12" s="1" t="str">
        <f>IF('LISTES JOUEURS'!AF12="","",'LISTES JOUEURS'!AF12)</f>
        <v/>
      </c>
      <c r="M12" s="1" t="str">
        <f>IF('LISTES JOUEURS'!AZ12="","",'LISTES JOUEURS'!AZ12)</f>
        <v/>
      </c>
      <c r="N12" s="1" t="str">
        <f>IF('LISTES JOUEURS'!BE12="","",'LISTES JOUEURS'!BE12)</f>
        <v/>
      </c>
      <c r="O12" s="1" t="str">
        <f>IF('LISTES JOUEURS'!BJ12="","",'LISTES JOUEURS'!BJ12)</f>
        <v/>
      </c>
      <c r="P12" s="1" t="str">
        <f>IF('LISTES JOUEURS'!AK12="","",'LISTES JOUEURS'!AK12)</f>
        <v/>
      </c>
      <c r="Q12" s="1" t="str">
        <f>IF('LISTES JOUEURS'!AP12="","",'LISTES JOUEURS'!AP12)</f>
        <v/>
      </c>
      <c r="R12" s="1" t="str">
        <f>IF('LISTES JOUEURS'!AU12="","",'LISTES JOUEURS'!AU12)</f>
        <v/>
      </c>
      <c r="S12" s="1" t="str">
        <f>IF('LISTES JOUEURS'!B12="","",'LISTES JOUEURS'!B12)</f>
        <v/>
      </c>
      <c r="T12" s="18" t="str">
        <f>IF('LISTES JOUEURS'!G12="","",'LISTES JOUEURS'!G12)</f>
        <v/>
      </c>
      <c r="X12" s="1" t="str">
        <f t="shared" si="0"/>
        <v>BELLET Alain</v>
      </c>
      <c r="Y12" s="1">
        <v>15151</v>
      </c>
      <c r="Z12" s="1" t="s">
        <v>15</v>
      </c>
      <c r="AA12" s="1">
        <v>5.83</v>
      </c>
      <c r="AB12" s="1" t="s">
        <v>152</v>
      </c>
      <c r="AH12" s="1" t="s">
        <v>33</v>
      </c>
      <c r="AI12" s="1" t="s">
        <v>185</v>
      </c>
      <c r="AJ12" s="1" t="s">
        <v>71</v>
      </c>
      <c r="AK12" s="1" t="s">
        <v>194</v>
      </c>
      <c r="AP12" s="1" t="s">
        <v>34</v>
      </c>
      <c r="AQ12" s="1" t="s">
        <v>218</v>
      </c>
      <c r="AT12" s="1" t="s">
        <v>48</v>
      </c>
      <c r="AU12" s="1" t="s">
        <v>231</v>
      </c>
      <c r="BB12" s="1" t="s">
        <v>36</v>
      </c>
      <c r="BC12" s="1" t="s">
        <v>258</v>
      </c>
      <c r="BD12" s="17" t="s">
        <v>107</v>
      </c>
      <c r="BE12" s="1" t="s">
        <v>326</v>
      </c>
      <c r="BF12" s="200" t="s">
        <v>327</v>
      </c>
    </row>
    <row r="13" spans="1:58" x14ac:dyDescent="0.25">
      <c r="B13" s="1" t="s">
        <v>11</v>
      </c>
      <c r="C13" s="1" t="str">
        <f>S1</f>
        <v>CadreN3</v>
      </c>
      <c r="D13" s="1" t="s">
        <v>392</v>
      </c>
      <c r="E13" s="1" t="s">
        <v>94</v>
      </c>
      <c r="G13">
        <v>12</v>
      </c>
      <c r="H13" s="17" t="str">
        <f>IF('LISTES JOUEURS'!L13="","",'LISTES JOUEURS'!L13)</f>
        <v/>
      </c>
      <c r="I13" s="1" t="str">
        <f>IF('LISTES JOUEURS'!Q13="","",'LISTES JOUEURS'!Q13)</f>
        <v/>
      </c>
      <c r="J13" s="1" t="str">
        <f>IF('LISTES JOUEURS'!V13="","",'LISTES JOUEURS'!V13)</f>
        <v/>
      </c>
      <c r="K13" s="1" t="str">
        <f>IF('LISTES JOUEURS'!AA13="","",'LISTES JOUEURS'!AA13)</f>
        <v>FEDERICI Jean</v>
      </c>
      <c r="L13" s="1" t="str">
        <f>IF('LISTES JOUEURS'!AF13="","",'LISTES JOUEURS'!AF13)</f>
        <v/>
      </c>
      <c r="M13" s="1" t="str">
        <f>IF('LISTES JOUEURS'!AZ13="","",'LISTES JOUEURS'!AZ13)</f>
        <v/>
      </c>
      <c r="N13" s="1" t="str">
        <f>IF('LISTES JOUEURS'!BE13="","",'LISTES JOUEURS'!BE13)</f>
        <v/>
      </c>
      <c r="O13" s="1" t="str">
        <f>IF('LISTES JOUEURS'!BJ13="","",'LISTES JOUEURS'!BJ13)</f>
        <v/>
      </c>
      <c r="P13" s="1" t="str">
        <f>IF('LISTES JOUEURS'!AK13="","",'LISTES JOUEURS'!AK13)</f>
        <v/>
      </c>
      <c r="Q13" s="1" t="str">
        <f>IF('LISTES JOUEURS'!AP13="","",'LISTES JOUEURS'!AP13)</f>
        <v/>
      </c>
      <c r="R13" s="1" t="str">
        <f>IF('LISTES JOUEURS'!AU13="","",'LISTES JOUEURS'!AU13)</f>
        <v/>
      </c>
      <c r="S13" s="1" t="str">
        <f>IF('LISTES JOUEURS'!B13="","",'LISTES JOUEURS'!B13)</f>
        <v/>
      </c>
      <c r="T13" s="18" t="str">
        <f>IF('LISTES JOUEURS'!G13="","",'LISTES JOUEURS'!G13)</f>
        <v/>
      </c>
      <c r="X13" s="1" t="str">
        <f t="shared" si="0"/>
        <v>CAMPOLI Jean louis</v>
      </c>
      <c r="Y13" s="1">
        <v>12715</v>
      </c>
      <c r="Z13" s="1" t="s">
        <v>37</v>
      </c>
      <c r="AA13" s="1">
        <v>5.43</v>
      </c>
      <c r="AB13" s="1" t="s">
        <v>156</v>
      </c>
      <c r="AH13" s="1" t="s">
        <v>47</v>
      </c>
      <c r="AI13" s="1" t="s">
        <v>178</v>
      </c>
      <c r="AP13" s="1" t="s">
        <v>32</v>
      </c>
      <c r="AQ13" s="1" t="s">
        <v>215</v>
      </c>
      <c r="AT13" s="1" t="s">
        <v>62</v>
      </c>
      <c r="AU13" s="1" t="s">
        <v>234</v>
      </c>
      <c r="BB13" s="1" t="s">
        <v>51</v>
      </c>
      <c r="BC13" s="1" t="s">
        <v>174</v>
      </c>
      <c r="BD13" s="17" t="s">
        <v>108</v>
      </c>
      <c r="BE13" s="1" t="s">
        <v>326</v>
      </c>
      <c r="BF13" s="200" t="s">
        <v>327</v>
      </c>
    </row>
    <row r="14" spans="1:58" x14ac:dyDescent="0.25">
      <c r="B14" s="1" t="s">
        <v>12</v>
      </c>
      <c r="C14" s="1" t="str">
        <f>T1</f>
        <v>CadreR1</v>
      </c>
      <c r="D14" s="1" t="s">
        <v>332</v>
      </c>
      <c r="E14" s="1" t="s">
        <v>95</v>
      </c>
      <c r="G14">
        <v>13</v>
      </c>
      <c r="H14" s="17" t="str">
        <f>IF('LISTES JOUEURS'!L14="","",'LISTES JOUEURS'!L14)</f>
        <v/>
      </c>
      <c r="I14" s="1" t="str">
        <f>IF('LISTES JOUEURS'!Q14="","",'LISTES JOUEURS'!Q14)</f>
        <v/>
      </c>
      <c r="J14" s="1" t="str">
        <f>IF('LISTES JOUEURS'!V14="","",'LISTES JOUEURS'!V14)</f>
        <v/>
      </c>
      <c r="K14" s="1" t="str">
        <f>IF('LISTES JOUEURS'!AA14="","",'LISTES JOUEURS'!AA14)</f>
        <v>STAMM Jean</v>
      </c>
      <c r="L14" s="1" t="str">
        <f>IF('LISTES JOUEURS'!AF14="","",'LISTES JOUEURS'!AF14)</f>
        <v/>
      </c>
      <c r="M14" s="1" t="str">
        <f>IF('LISTES JOUEURS'!AZ14="","",'LISTES JOUEURS'!AZ14)</f>
        <v/>
      </c>
      <c r="N14" s="1" t="str">
        <f>IF('LISTES JOUEURS'!BE14="","",'LISTES JOUEURS'!BE14)</f>
        <v/>
      </c>
      <c r="O14" s="1" t="str">
        <f>IF('LISTES JOUEURS'!BJ14="","",'LISTES JOUEURS'!BJ14)</f>
        <v/>
      </c>
      <c r="P14" s="1" t="str">
        <f>IF('LISTES JOUEURS'!AK14="","",'LISTES JOUEURS'!AK14)</f>
        <v/>
      </c>
      <c r="Q14" s="1" t="str">
        <f>IF('LISTES JOUEURS'!AP14="","",'LISTES JOUEURS'!AP14)</f>
        <v/>
      </c>
      <c r="R14" s="1" t="str">
        <f>IF('LISTES JOUEURS'!AU14="","",'LISTES JOUEURS'!AU14)</f>
        <v/>
      </c>
      <c r="S14" s="1" t="str">
        <f>IF('LISTES JOUEURS'!B14="","",'LISTES JOUEURS'!B14)</f>
        <v/>
      </c>
      <c r="T14" s="18" t="str">
        <f>IF('LISTES JOUEURS'!G14="","",'LISTES JOUEURS'!G14)</f>
        <v/>
      </c>
      <c r="X14" s="1" t="str">
        <f t="shared" si="0"/>
        <v>BONNEFOY Joel</v>
      </c>
      <c r="Y14" s="1">
        <v>156198</v>
      </c>
      <c r="Z14" s="1" t="s">
        <v>16</v>
      </c>
      <c r="AA14" s="1">
        <v>5.03</v>
      </c>
      <c r="AB14" s="1" t="s">
        <v>162</v>
      </c>
      <c r="AH14" s="1" t="s">
        <v>72</v>
      </c>
      <c r="AI14" s="1" t="s">
        <v>181</v>
      </c>
      <c r="AP14" s="1" t="s">
        <v>61</v>
      </c>
      <c r="AQ14" s="1" t="s">
        <v>220</v>
      </c>
      <c r="BB14" s="1" t="s">
        <v>58</v>
      </c>
      <c r="BC14" s="1" t="s">
        <v>264</v>
      </c>
      <c r="BD14" s="17"/>
      <c r="BF14" s="18"/>
    </row>
    <row r="15" spans="1:58" ht="15.75" thickBot="1" x14ac:dyDescent="0.3">
      <c r="B15" s="1" t="s">
        <v>13</v>
      </c>
      <c r="G15">
        <v>14</v>
      </c>
      <c r="H15" s="17" t="str">
        <f>IF('LISTES JOUEURS'!L15="","",'LISTES JOUEURS'!L15)</f>
        <v/>
      </c>
      <c r="I15" s="1" t="str">
        <f>IF('LISTES JOUEURS'!Q15="","",'LISTES JOUEURS'!Q15)</f>
        <v/>
      </c>
      <c r="J15" s="1" t="str">
        <f>IF('LISTES JOUEURS'!V15="","",'LISTES JOUEURS'!V15)</f>
        <v/>
      </c>
      <c r="K15" s="1" t="str">
        <f>IF('LISTES JOUEURS'!AA15="","",'LISTES JOUEURS'!AA15)</f>
        <v>CAQUET Michel</v>
      </c>
      <c r="L15" s="1" t="str">
        <f>IF('LISTES JOUEURS'!AF15="","",'LISTES JOUEURS'!AF15)</f>
        <v/>
      </c>
      <c r="M15" s="1" t="str">
        <f>IF('LISTES JOUEURS'!AZ15="","",'LISTES JOUEURS'!AZ15)</f>
        <v/>
      </c>
      <c r="N15" s="1" t="str">
        <f>IF('LISTES JOUEURS'!BE15="","",'LISTES JOUEURS'!BE15)</f>
        <v/>
      </c>
      <c r="O15" s="1" t="str">
        <f>IF('LISTES JOUEURS'!BJ15="","",'LISTES JOUEURS'!BJ15)</f>
        <v/>
      </c>
      <c r="P15" s="1" t="str">
        <f>IF('LISTES JOUEURS'!AK15="","",'LISTES JOUEURS'!AK15)</f>
        <v/>
      </c>
      <c r="Q15" s="1" t="str">
        <f>IF('LISTES JOUEURS'!AP15="","",'LISTES JOUEURS'!AP15)</f>
        <v/>
      </c>
      <c r="R15" s="1" t="str">
        <f>IF('LISTES JOUEURS'!AU15="","",'LISTES JOUEURS'!AU15)</f>
        <v/>
      </c>
      <c r="S15" s="1" t="str">
        <f>IF('LISTES JOUEURS'!B15="","",'LISTES JOUEURS'!B15)</f>
        <v/>
      </c>
      <c r="T15" s="18" t="str">
        <f>IF('LISTES JOUEURS'!G15="","",'LISTES JOUEURS'!G15)</f>
        <v/>
      </c>
      <c r="X15" s="1" t="str">
        <f t="shared" si="0"/>
        <v>MEDDAHI Mohamed</v>
      </c>
      <c r="Y15" s="1">
        <v>140763</v>
      </c>
      <c r="Z15" s="1" t="s">
        <v>336</v>
      </c>
      <c r="AA15" s="1">
        <v>4.9000000000000004</v>
      </c>
      <c r="AB15" s="1" t="s">
        <v>160</v>
      </c>
      <c r="AH15" s="1" t="s">
        <v>74</v>
      </c>
      <c r="AI15" s="1" t="s">
        <v>177</v>
      </c>
      <c r="AP15" s="1" t="s">
        <v>58</v>
      </c>
      <c r="AQ15" s="1" t="s">
        <v>222</v>
      </c>
      <c r="BB15" s="1" t="s">
        <v>48</v>
      </c>
      <c r="BC15" s="1" t="s">
        <v>260</v>
      </c>
      <c r="BD15" s="19"/>
      <c r="BE15" s="20"/>
      <c r="BF15" s="21"/>
    </row>
    <row r="16" spans="1:58" x14ac:dyDescent="0.25">
      <c r="B16" s="1" t="s">
        <v>14</v>
      </c>
      <c r="G16">
        <v>15</v>
      </c>
      <c r="H16" s="17" t="str">
        <f>IF('LISTES JOUEURS'!L16="","",'LISTES JOUEURS'!L16)</f>
        <v/>
      </c>
      <c r="I16" s="1" t="str">
        <f>IF('LISTES JOUEURS'!Q16="","",'LISTES JOUEURS'!Q16)</f>
        <v/>
      </c>
      <c r="J16" s="1" t="str">
        <f>IF('LISTES JOUEURS'!V16="","",'LISTES JOUEURS'!V16)</f>
        <v/>
      </c>
      <c r="K16" s="1" t="str">
        <f>IF('LISTES JOUEURS'!AA16="","",'LISTES JOUEURS'!AA16)</f>
        <v>EYNIUS Pascal</v>
      </c>
      <c r="L16" s="1" t="str">
        <f>IF('LISTES JOUEURS'!AF16="","",'LISTES JOUEURS'!AF16)</f>
        <v/>
      </c>
      <c r="M16" s="1" t="str">
        <f>IF('LISTES JOUEURS'!AZ16="","",'LISTES JOUEURS'!AZ16)</f>
        <v/>
      </c>
      <c r="N16" s="1" t="str">
        <f>IF('LISTES JOUEURS'!BE16="","",'LISTES JOUEURS'!BE16)</f>
        <v/>
      </c>
      <c r="O16" s="1" t="str">
        <f>IF('LISTES JOUEURS'!BJ16="","",'LISTES JOUEURS'!BJ16)</f>
        <v/>
      </c>
      <c r="P16" s="1" t="str">
        <f>IF('LISTES JOUEURS'!AK16="","",'LISTES JOUEURS'!AK16)</f>
        <v/>
      </c>
      <c r="Q16" s="1" t="str">
        <f>IF('LISTES JOUEURS'!AP16="","",'LISTES JOUEURS'!AP16)</f>
        <v/>
      </c>
      <c r="R16" s="1" t="str">
        <f>IF('LISTES JOUEURS'!AU16="","",'LISTES JOUEURS'!AU16)</f>
        <v/>
      </c>
      <c r="S16" s="1" t="str">
        <f>IF('LISTES JOUEURS'!B16="","",'LISTES JOUEURS'!B16)</f>
        <v/>
      </c>
      <c r="T16" s="18" t="str">
        <f>IF('LISTES JOUEURS'!G16="","",'LISTES JOUEURS'!G16)</f>
        <v/>
      </c>
      <c r="X16" s="1" t="str">
        <f t="shared" si="0"/>
        <v>FRANCK Pascal</v>
      </c>
      <c r="Y16" s="1">
        <v>14742</v>
      </c>
      <c r="Z16" s="1" t="s">
        <v>27</v>
      </c>
      <c r="AA16" s="1">
        <v>4.3899999999999997</v>
      </c>
      <c r="AB16" s="1" t="s">
        <v>156</v>
      </c>
      <c r="AP16" s="1" t="s">
        <v>48</v>
      </c>
      <c r="AQ16" s="1" t="s">
        <v>219</v>
      </c>
      <c r="BB16" s="1" t="s">
        <v>66</v>
      </c>
      <c r="BC16" s="1" t="s">
        <v>263</v>
      </c>
    </row>
    <row r="17" spans="7:43" x14ac:dyDescent="0.25">
      <c r="G17">
        <v>16</v>
      </c>
      <c r="H17" s="17" t="str">
        <f>IF('LISTES JOUEURS'!L17="","",'LISTES JOUEURS'!L17)</f>
        <v/>
      </c>
      <c r="I17" s="1" t="str">
        <f>IF('LISTES JOUEURS'!Q17="","",'LISTES JOUEURS'!Q17)</f>
        <v/>
      </c>
      <c r="J17" s="1" t="str">
        <f>IF('LISTES JOUEURS'!V17="","",'LISTES JOUEURS'!V17)</f>
        <v/>
      </c>
      <c r="K17" s="1" t="str">
        <f>IF('LISTES JOUEURS'!AA17="","",'LISTES JOUEURS'!AA17)</f>
        <v>RAULET Jérôme</v>
      </c>
      <c r="L17" s="1" t="str">
        <f>IF('LISTES JOUEURS'!AF17="","",'LISTES JOUEURS'!AF17)</f>
        <v/>
      </c>
      <c r="M17" s="1" t="str">
        <f>IF('LISTES JOUEURS'!AZ17="","",'LISTES JOUEURS'!AZ17)</f>
        <v/>
      </c>
      <c r="N17" s="1" t="str">
        <f>IF('LISTES JOUEURS'!BE17="","",'LISTES JOUEURS'!BE17)</f>
        <v/>
      </c>
      <c r="O17" s="1" t="str">
        <f>IF('LISTES JOUEURS'!BJ17="","",'LISTES JOUEURS'!BJ17)</f>
        <v/>
      </c>
      <c r="P17" s="1" t="str">
        <f>IF('LISTES JOUEURS'!AK17="","",'LISTES JOUEURS'!AK17)</f>
        <v/>
      </c>
      <c r="Q17" s="1" t="str">
        <f>IF('LISTES JOUEURS'!AP17="","",'LISTES JOUEURS'!AP17)</f>
        <v/>
      </c>
      <c r="R17" s="1" t="str">
        <f>IF('LISTES JOUEURS'!AU17="","",'LISTES JOUEURS'!AU17)</f>
        <v/>
      </c>
      <c r="S17" s="1" t="str">
        <f>IF('LISTES JOUEURS'!B17="","",'LISTES JOUEURS'!B17)</f>
        <v/>
      </c>
      <c r="T17" s="18" t="str">
        <f>IF('LISTES JOUEURS'!G17="","",'LISTES JOUEURS'!G17)</f>
        <v/>
      </c>
      <c r="X17" s="1" t="str">
        <f t="shared" si="0"/>
        <v>MARCONI Dominique</v>
      </c>
      <c r="Y17" s="1">
        <v>123009</v>
      </c>
      <c r="Z17" s="1" t="s">
        <v>34</v>
      </c>
      <c r="AA17" s="1">
        <v>4.22</v>
      </c>
      <c r="AB17" s="1" t="s">
        <v>160</v>
      </c>
      <c r="AP17" s="1" t="s">
        <v>33</v>
      </c>
      <c r="AQ17" s="1" t="s">
        <v>227</v>
      </c>
    </row>
    <row r="18" spans="7:43" x14ac:dyDescent="0.25">
      <c r="G18">
        <v>17</v>
      </c>
      <c r="H18" s="17" t="str">
        <f>IF('LISTES JOUEURS'!L18="","",'LISTES JOUEURS'!L18)</f>
        <v/>
      </c>
      <c r="I18" s="1" t="str">
        <f>IF('LISTES JOUEURS'!Q18="","",'LISTES JOUEURS'!Q18)</f>
        <v/>
      </c>
      <c r="J18" s="1" t="str">
        <f>IF('LISTES JOUEURS'!V18="","",'LISTES JOUEURS'!V18)</f>
        <v/>
      </c>
      <c r="K18" s="1" t="str">
        <f>IF('LISTES JOUEURS'!AA18="","",'LISTES JOUEURS'!AA18)</f>
        <v/>
      </c>
      <c r="L18" s="1" t="str">
        <f>IF('LISTES JOUEURS'!AF18="","",'LISTES JOUEURS'!AF18)</f>
        <v/>
      </c>
      <c r="M18" s="1" t="str">
        <f>IF('LISTES JOUEURS'!AZ18="","",'LISTES JOUEURS'!AZ18)</f>
        <v/>
      </c>
      <c r="N18" s="1" t="str">
        <f>IF('LISTES JOUEURS'!BE18="","",'LISTES JOUEURS'!BE18)</f>
        <v/>
      </c>
      <c r="O18" s="1" t="str">
        <f>IF('LISTES JOUEURS'!BJ18="","",'LISTES JOUEURS'!BJ18)</f>
        <v/>
      </c>
      <c r="P18" s="1" t="str">
        <f>IF('LISTES JOUEURS'!AK18="","",'LISTES JOUEURS'!AK18)</f>
        <v/>
      </c>
      <c r="Q18" s="1" t="str">
        <f>IF('LISTES JOUEURS'!AP18="","",'LISTES JOUEURS'!AP18)</f>
        <v/>
      </c>
      <c r="R18" s="1" t="str">
        <f>IF('LISTES JOUEURS'!AU18="","",'LISTES JOUEURS'!AU18)</f>
        <v/>
      </c>
      <c r="S18" s="1" t="str">
        <f>IF('LISTES JOUEURS'!B18="","",'LISTES JOUEURS'!B18)</f>
        <v/>
      </c>
      <c r="T18" s="18" t="str">
        <f>IF('LISTES JOUEURS'!G18="","",'LISTES JOUEURS'!G18)</f>
        <v/>
      </c>
      <c r="X18" s="1" t="str">
        <f t="shared" si="0"/>
        <v>LEGRAND Robert</v>
      </c>
      <c r="Y18" s="1">
        <v>15019</v>
      </c>
      <c r="Z18" s="1" t="s">
        <v>40</v>
      </c>
      <c r="AA18" s="1">
        <v>3.81</v>
      </c>
      <c r="AB18" s="1" t="s">
        <v>164</v>
      </c>
      <c r="AP18" s="1" t="s">
        <v>47</v>
      </c>
      <c r="AQ18" s="1" t="s">
        <v>217</v>
      </c>
    </row>
    <row r="19" spans="7:43" x14ac:dyDescent="0.25">
      <c r="G19">
        <v>18</v>
      </c>
      <c r="H19" s="17" t="str">
        <f>IF('LISTES JOUEURS'!L19="","",'LISTES JOUEURS'!L19)</f>
        <v/>
      </c>
      <c r="I19" s="1" t="str">
        <f>IF('LISTES JOUEURS'!Q19="","",'LISTES JOUEURS'!Q19)</f>
        <v/>
      </c>
      <c r="J19" s="1" t="str">
        <f>IF('LISTES JOUEURS'!V19="","",'LISTES JOUEURS'!V19)</f>
        <v/>
      </c>
      <c r="K19" s="1" t="str">
        <f>IF('LISTES JOUEURS'!AA19="","",'LISTES JOUEURS'!AA19)</f>
        <v/>
      </c>
      <c r="L19" s="1" t="str">
        <f>IF('LISTES JOUEURS'!AF19="","",'LISTES JOUEURS'!AF19)</f>
        <v/>
      </c>
      <c r="M19" s="1" t="str">
        <f>IF('LISTES JOUEURS'!AZ19="","",'LISTES JOUEURS'!AZ19)</f>
        <v/>
      </c>
      <c r="N19" s="1" t="str">
        <f>IF('LISTES JOUEURS'!BE19="","",'LISTES JOUEURS'!BE19)</f>
        <v/>
      </c>
      <c r="O19" s="1" t="str">
        <f>IF('LISTES JOUEURS'!BJ19="","",'LISTES JOUEURS'!BJ19)</f>
        <v/>
      </c>
      <c r="P19" s="1" t="str">
        <f>IF('LISTES JOUEURS'!AK19="","",'LISTES JOUEURS'!AK19)</f>
        <v/>
      </c>
      <c r="Q19" s="1" t="str">
        <f>IF('LISTES JOUEURS'!AP19="","",'LISTES JOUEURS'!AP19)</f>
        <v/>
      </c>
      <c r="R19" s="1" t="str">
        <f>IF('LISTES JOUEURS'!AU19="","",'LISTES JOUEURS'!AU19)</f>
        <v/>
      </c>
      <c r="S19" s="1" t="str">
        <f>IF('LISTES JOUEURS'!B19="","",'LISTES JOUEURS'!B19)</f>
        <v/>
      </c>
      <c r="T19" s="18" t="str">
        <f>IF('LISTES JOUEURS'!G19="","",'LISTES JOUEURS'!G19)</f>
        <v/>
      </c>
      <c r="X19" s="1" t="str">
        <f t="shared" si="0"/>
        <v>VADALA Gino</v>
      </c>
      <c r="Y19" s="1">
        <v>14789</v>
      </c>
      <c r="Z19" s="1" t="s">
        <v>341</v>
      </c>
      <c r="AA19" s="1">
        <v>3.32</v>
      </c>
      <c r="AB19" s="1" t="s">
        <v>197</v>
      </c>
    </row>
    <row r="20" spans="7:43" x14ac:dyDescent="0.25">
      <c r="G20">
        <v>19</v>
      </c>
      <c r="H20" s="17" t="str">
        <f>IF('LISTES JOUEURS'!L20="","",'LISTES JOUEURS'!L20)</f>
        <v/>
      </c>
      <c r="I20" s="1" t="str">
        <f>IF('LISTES JOUEURS'!Q20="","",'LISTES JOUEURS'!Q20)</f>
        <v/>
      </c>
      <c r="J20" s="1" t="str">
        <f>IF('LISTES JOUEURS'!V20="","",'LISTES JOUEURS'!V20)</f>
        <v/>
      </c>
      <c r="K20" s="1" t="str">
        <f>IF('LISTES JOUEURS'!AA20="","",'LISTES JOUEURS'!AA20)</f>
        <v/>
      </c>
      <c r="L20" s="1" t="str">
        <f>IF('LISTES JOUEURS'!AF20="","",'LISTES JOUEURS'!AF20)</f>
        <v/>
      </c>
      <c r="M20" s="1" t="str">
        <f>IF('LISTES JOUEURS'!AZ20="","",'LISTES JOUEURS'!AZ20)</f>
        <v/>
      </c>
      <c r="N20" s="1" t="str">
        <f>IF('LISTES JOUEURS'!BE20="","",'LISTES JOUEURS'!BE20)</f>
        <v/>
      </c>
      <c r="O20" s="1" t="str">
        <f>IF('LISTES JOUEURS'!BJ20="","",'LISTES JOUEURS'!BJ20)</f>
        <v/>
      </c>
      <c r="P20" s="1" t="str">
        <f>IF('LISTES JOUEURS'!AK20="","",'LISTES JOUEURS'!AK20)</f>
        <v/>
      </c>
      <c r="Q20" s="1" t="str">
        <f>IF('LISTES JOUEURS'!AP20="","",'LISTES JOUEURS'!AP20)</f>
        <v/>
      </c>
      <c r="R20" s="1" t="str">
        <f>IF('LISTES JOUEURS'!AU20="","",'LISTES JOUEURS'!AU20)</f>
        <v/>
      </c>
      <c r="S20" s="1" t="str">
        <f>IF('LISTES JOUEURS'!B20="","",'LISTES JOUEURS'!B20)</f>
        <v/>
      </c>
      <c r="T20" s="18" t="str">
        <f>IF('LISTES JOUEURS'!G20="","",'LISTES JOUEURS'!G20)</f>
        <v/>
      </c>
      <c r="X20" s="1">
        <f t="shared" si="0"/>
        <v>0</v>
      </c>
      <c r="Y20" s="1" t="s">
        <v>353</v>
      </c>
    </row>
    <row r="21" spans="7:43" x14ac:dyDescent="0.25">
      <c r="G21">
        <v>20</v>
      </c>
      <c r="H21" s="17" t="str">
        <f>IF('LISTES JOUEURS'!L21="","",'LISTES JOUEURS'!L21)</f>
        <v/>
      </c>
      <c r="I21" s="1" t="str">
        <f>IF('LISTES JOUEURS'!Q21="","",'LISTES JOUEURS'!Q21)</f>
        <v/>
      </c>
      <c r="J21" s="1" t="str">
        <f>IF('LISTES JOUEURS'!V21="","",'LISTES JOUEURS'!V21)</f>
        <v/>
      </c>
      <c r="K21" s="1" t="str">
        <f>IF('LISTES JOUEURS'!AA21="","",'LISTES JOUEURS'!AA21)</f>
        <v/>
      </c>
      <c r="L21" s="1" t="str">
        <f>IF('LISTES JOUEURS'!AF21="","",'LISTES JOUEURS'!AF21)</f>
        <v/>
      </c>
      <c r="M21" s="1" t="str">
        <f>IF('LISTES JOUEURS'!AZ21="","",'LISTES JOUEURS'!AZ21)</f>
        <v/>
      </c>
      <c r="N21" s="1" t="str">
        <f>IF('LISTES JOUEURS'!BE21="","",'LISTES JOUEURS'!BE21)</f>
        <v/>
      </c>
      <c r="O21" s="1" t="str">
        <f>IF('LISTES JOUEURS'!BJ21="","",'LISTES JOUEURS'!BJ21)</f>
        <v/>
      </c>
      <c r="P21" s="1" t="str">
        <f>IF('LISTES JOUEURS'!AK21="","",'LISTES JOUEURS'!AK21)</f>
        <v/>
      </c>
      <c r="Q21" s="1" t="str">
        <f>IF('LISTES JOUEURS'!AP21="","",'LISTES JOUEURS'!AP21)</f>
        <v/>
      </c>
      <c r="R21" s="1" t="str">
        <f>IF('LISTES JOUEURS'!AU21="","",'LISTES JOUEURS'!AU21)</f>
        <v/>
      </c>
      <c r="S21" s="1" t="str">
        <f>IF('LISTES JOUEURS'!B21="","",'LISTES JOUEURS'!B21)</f>
        <v/>
      </c>
      <c r="T21" s="18" t="str">
        <f>IF('LISTES JOUEURS'!G21="","",'LISTES JOUEURS'!G21)</f>
        <v/>
      </c>
      <c r="X21" s="1" t="str">
        <f t="shared" si="0"/>
        <v>Nom</v>
      </c>
      <c r="Y21" s="1" t="s">
        <v>148</v>
      </c>
      <c r="Z21" s="1" t="s">
        <v>149</v>
      </c>
      <c r="AA21" s="1" t="s">
        <v>150</v>
      </c>
      <c r="AB21" s="1" t="s">
        <v>350</v>
      </c>
    </row>
    <row r="22" spans="7:43" x14ac:dyDescent="0.25">
      <c r="G22">
        <v>21</v>
      </c>
      <c r="H22" s="17" t="str">
        <f>IF('LISTES JOUEURS'!L22="","",'LISTES JOUEURS'!L22)</f>
        <v/>
      </c>
      <c r="I22" s="1" t="str">
        <f>IF('LISTES JOUEURS'!Q22="","",'LISTES JOUEURS'!Q22)</f>
        <v/>
      </c>
      <c r="J22" s="1" t="str">
        <f>IF('LISTES JOUEURS'!V22="","",'LISTES JOUEURS'!V22)</f>
        <v/>
      </c>
      <c r="K22" s="1" t="str">
        <f>IF('LISTES JOUEURS'!AA22="","",'LISTES JOUEURS'!AA22)</f>
        <v/>
      </c>
      <c r="L22" s="1" t="str">
        <f>IF('LISTES JOUEURS'!AF22="","",'LISTES JOUEURS'!AF22)</f>
        <v/>
      </c>
      <c r="M22" s="1" t="str">
        <f>IF('LISTES JOUEURS'!AZ22="","",'LISTES JOUEURS'!AZ22)</f>
        <v/>
      </c>
      <c r="N22" s="1" t="str">
        <f>IF('LISTES JOUEURS'!BE22="","",'LISTES JOUEURS'!BE22)</f>
        <v/>
      </c>
      <c r="O22" s="1" t="str">
        <f>IF('LISTES JOUEURS'!BJ22="","",'LISTES JOUEURS'!BJ22)</f>
        <v/>
      </c>
      <c r="P22" s="1" t="str">
        <f>IF('LISTES JOUEURS'!AK22="","",'LISTES JOUEURS'!AK22)</f>
        <v/>
      </c>
      <c r="Q22" s="1" t="str">
        <f>IF('LISTES JOUEURS'!AP22="","",'LISTES JOUEURS'!AP22)</f>
        <v/>
      </c>
      <c r="R22" s="1" t="str">
        <f>IF('LISTES JOUEURS'!AU22="","",'LISTES JOUEURS'!AU22)</f>
        <v/>
      </c>
      <c r="S22" s="1" t="str">
        <f>IF('LISTES JOUEURS'!B22="","",'LISTES JOUEURS'!B22)</f>
        <v/>
      </c>
      <c r="T22" s="18" t="str">
        <f>IF('LISTES JOUEURS'!G22="","",'LISTES JOUEURS'!G22)</f>
        <v/>
      </c>
    </row>
    <row r="23" spans="7:43" x14ac:dyDescent="0.25">
      <c r="G23">
        <v>22</v>
      </c>
      <c r="H23" s="17" t="str">
        <f>IF('LISTES JOUEURS'!L23="","",'LISTES JOUEURS'!L23)</f>
        <v/>
      </c>
      <c r="I23" s="1" t="str">
        <f>IF('LISTES JOUEURS'!Q23="","",'LISTES JOUEURS'!Q23)</f>
        <v/>
      </c>
      <c r="J23" s="1" t="str">
        <f>IF('LISTES JOUEURS'!V23="","",'LISTES JOUEURS'!V23)</f>
        <v/>
      </c>
      <c r="K23" s="1" t="str">
        <f>IF('LISTES JOUEURS'!AA23="","",'LISTES JOUEURS'!AA23)</f>
        <v/>
      </c>
      <c r="L23" s="1" t="str">
        <f>IF('LISTES JOUEURS'!AF23="","",'LISTES JOUEURS'!AF23)</f>
        <v/>
      </c>
      <c r="M23" s="1" t="str">
        <f>IF('LISTES JOUEURS'!AZ23="","",'LISTES JOUEURS'!AZ23)</f>
        <v/>
      </c>
      <c r="N23" s="1" t="str">
        <f>IF('LISTES JOUEURS'!BE23="","",'LISTES JOUEURS'!BE23)</f>
        <v/>
      </c>
      <c r="O23" s="1" t="str">
        <f>IF('LISTES JOUEURS'!BJ23="","",'LISTES JOUEURS'!BJ23)</f>
        <v/>
      </c>
      <c r="P23" s="1" t="str">
        <f>IF('LISTES JOUEURS'!AK23="","",'LISTES JOUEURS'!AK23)</f>
        <v/>
      </c>
      <c r="Q23" s="1" t="str">
        <f>IF('LISTES JOUEURS'!AP23="","",'LISTES JOUEURS'!AP23)</f>
        <v/>
      </c>
      <c r="R23" s="1" t="str">
        <f>IF('LISTES JOUEURS'!AU23="","",'LISTES JOUEURS'!AU23)</f>
        <v/>
      </c>
      <c r="S23" s="1" t="str">
        <f>IF('LISTES JOUEURS'!B23="","",'LISTES JOUEURS'!B23)</f>
        <v/>
      </c>
      <c r="T23" s="18" t="str">
        <f>IF('LISTES JOUEURS'!G23="","",'LISTES JOUEURS'!G23)</f>
        <v/>
      </c>
    </row>
    <row r="24" spans="7:43" x14ac:dyDescent="0.25">
      <c r="G24">
        <v>23</v>
      </c>
      <c r="H24" s="17" t="str">
        <f>IF('LISTES JOUEURS'!L24="","",'LISTES JOUEURS'!L24)</f>
        <v/>
      </c>
      <c r="I24" s="1" t="str">
        <f>IF('LISTES JOUEURS'!Q24="","",'LISTES JOUEURS'!Q24)</f>
        <v/>
      </c>
      <c r="J24" s="1" t="str">
        <f>IF('LISTES JOUEURS'!V24="","",'LISTES JOUEURS'!V24)</f>
        <v/>
      </c>
      <c r="K24" s="1" t="str">
        <f>IF('LISTES JOUEURS'!AA24="","",'LISTES JOUEURS'!AA24)</f>
        <v/>
      </c>
      <c r="L24" s="1" t="str">
        <f>IF('LISTES JOUEURS'!AF24="","",'LISTES JOUEURS'!AF24)</f>
        <v/>
      </c>
      <c r="M24" s="1" t="str">
        <f>IF('LISTES JOUEURS'!AZ24="","",'LISTES JOUEURS'!AZ24)</f>
        <v/>
      </c>
      <c r="N24" s="1" t="str">
        <f>IF('LISTES JOUEURS'!BE24="","",'LISTES JOUEURS'!BE24)</f>
        <v/>
      </c>
      <c r="O24" s="1" t="str">
        <f>IF('LISTES JOUEURS'!BJ24="","",'LISTES JOUEURS'!BJ24)</f>
        <v/>
      </c>
      <c r="P24" s="1" t="str">
        <f>IF('LISTES JOUEURS'!AK24="","",'LISTES JOUEURS'!AK24)</f>
        <v/>
      </c>
      <c r="Q24" s="1" t="str">
        <f>IF('LISTES JOUEURS'!AP24="","",'LISTES JOUEURS'!AP24)</f>
        <v/>
      </c>
      <c r="R24" s="1" t="str">
        <f>IF('LISTES JOUEURS'!AU24="","",'LISTES JOUEURS'!AU24)</f>
        <v/>
      </c>
      <c r="S24" s="1" t="str">
        <f>IF('LISTES JOUEURS'!B24="","",'LISTES JOUEURS'!B24)</f>
        <v/>
      </c>
      <c r="T24" s="18" t="str">
        <f>IF('LISTES JOUEURS'!G24="","",'LISTES JOUEURS'!G24)</f>
        <v/>
      </c>
    </row>
    <row r="25" spans="7:43" x14ac:dyDescent="0.25">
      <c r="G25">
        <v>24</v>
      </c>
      <c r="H25" s="17" t="str">
        <f>IF('LISTES JOUEURS'!L25="","",'LISTES JOUEURS'!L25)</f>
        <v/>
      </c>
      <c r="I25" s="1" t="str">
        <f>IF('LISTES JOUEURS'!Q25="","",'LISTES JOUEURS'!Q25)</f>
        <v/>
      </c>
      <c r="J25" s="1" t="str">
        <f>IF('LISTES JOUEURS'!V25="","",'LISTES JOUEURS'!V25)</f>
        <v/>
      </c>
      <c r="K25" s="1" t="str">
        <f>IF('LISTES JOUEURS'!AA25="","",'LISTES JOUEURS'!AA25)</f>
        <v/>
      </c>
      <c r="L25" s="1" t="str">
        <f>IF('LISTES JOUEURS'!AF25="","",'LISTES JOUEURS'!AF25)</f>
        <v/>
      </c>
      <c r="M25" s="1" t="str">
        <f>IF('LISTES JOUEURS'!AZ25="","",'LISTES JOUEURS'!AZ25)</f>
        <v/>
      </c>
      <c r="N25" s="1" t="str">
        <f>IF('LISTES JOUEURS'!BE25="","",'LISTES JOUEURS'!BE25)</f>
        <v/>
      </c>
      <c r="O25" s="1" t="str">
        <f>IF('LISTES JOUEURS'!BJ25="","",'LISTES JOUEURS'!BJ25)</f>
        <v/>
      </c>
      <c r="P25" s="1" t="str">
        <f>IF('LISTES JOUEURS'!AK25="","",'LISTES JOUEURS'!AK25)</f>
        <v/>
      </c>
      <c r="Q25" s="1" t="str">
        <f>IF('LISTES JOUEURS'!AP25="","",'LISTES JOUEURS'!AP25)</f>
        <v/>
      </c>
      <c r="R25" s="1" t="str">
        <f>IF('LISTES JOUEURS'!AU25="","",'LISTES JOUEURS'!AU25)</f>
        <v/>
      </c>
      <c r="S25" s="1" t="str">
        <f>IF('LISTES JOUEURS'!B25="","",'LISTES JOUEURS'!B25)</f>
        <v/>
      </c>
      <c r="T25" s="18" t="str">
        <f>IF('LISTES JOUEURS'!G25="","",'LISTES JOUEURS'!G25)</f>
        <v/>
      </c>
    </row>
    <row r="26" spans="7:43" x14ac:dyDescent="0.25">
      <c r="G26">
        <v>25</v>
      </c>
      <c r="H26" s="17" t="str">
        <f>IF('LISTES JOUEURS'!L26="","",'LISTES JOUEURS'!L26)</f>
        <v/>
      </c>
      <c r="I26" s="1" t="str">
        <f>IF('LISTES JOUEURS'!Q26="","",'LISTES JOUEURS'!Q26)</f>
        <v/>
      </c>
      <c r="J26" s="1" t="str">
        <f>IF('LISTES JOUEURS'!V26="","",'LISTES JOUEURS'!V26)</f>
        <v/>
      </c>
      <c r="K26" s="1" t="str">
        <f>IF('LISTES JOUEURS'!AA26="","",'LISTES JOUEURS'!AA26)</f>
        <v/>
      </c>
      <c r="L26" s="1" t="str">
        <f>IF('LISTES JOUEURS'!AF26="","",'LISTES JOUEURS'!AF26)</f>
        <v/>
      </c>
      <c r="M26" s="1" t="str">
        <f>IF('LISTES JOUEURS'!AZ26="","",'LISTES JOUEURS'!AZ26)</f>
        <v/>
      </c>
      <c r="N26" s="1" t="str">
        <f>IF('LISTES JOUEURS'!BE26="","",'LISTES JOUEURS'!BE26)</f>
        <v/>
      </c>
      <c r="O26" s="1" t="str">
        <f>IF('LISTES JOUEURS'!BJ26="","",'LISTES JOUEURS'!BJ26)</f>
        <v/>
      </c>
      <c r="P26" s="1" t="str">
        <f>IF('LISTES JOUEURS'!AK26="","",'LISTES JOUEURS'!AK26)</f>
        <v/>
      </c>
      <c r="Q26" s="1" t="str">
        <f>IF('LISTES JOUEURS'!AP26="","",'LISTES JOUEURS'!AP26)</f>
        <v/>
      </c>
      <c r="R26" s="1" t="str">
        <f>IF('LISTES JOUEURS'!AU26="","",'LISTES JOUEURS'!AU26)</f>
        <v/>
      </c>
      <c r="S26" s="1" t="str">
        <f>IF('LISTES JOUEURS'!B26="","",'LISTES JOUEURS'!B26)</f>
        <v/>
      </c>
      <c r="T26" s="18" t="str">
        <f>IF('LISTES JOUEURS'!G26="","",'LISTES JOUEURS'!G26)</f>
        <v/>
      </c>
    </row>
    <row r="27" spans="7:43" x14ac:dyDescent="0.25">
      <c r="G27">
        <v>26</v>
      </c>
      <c r="H27" s="17" t="str">
        <f>IF('LISTES JOUEURS'!L27="","",'LISTES JOUEURS'!L27)</f>
        <v/>
      </c>
      <c r="I27" s="1" t="str">
        <f>IF('LISTES JOUEURS'!Q27="","",'LISTES JOUEURS'!Q27)</f>
        <v/>
      </c>
      <c r="J27" s="1" t="str">
        <f>IF('LISTES JOUEURS'!V27="","",'LISTES JOUEURS'!V27)</f>
        <v/>
      </c>
      <c r="K27" s="1" t="str">
        <f>IF('LISTES JOUEURS'!AA27="","",'LISTES JOUEURS'!AA27)</f>
        <v/>
      </c>
      <c r="L27" s="1" t="str">
        <f>IF('LISTES JOUEURS'!AF27="","",'LISTES JOUEURS'!AF27)</f>
        <v/>
      </c>
      <c r="M27" s="1" t="str">
        <f>IF('LISTES JOUEURS'!AZ27="","",'LISTES JOUEURS'!AZ27)</f>
        <v/>
      </c>
      <c r="N27" s="1" t="str">
        <f>IF('LISTES JOUEURS'!BE27="","",'LISTES JOUEURS'!BE27)</f>
        <v/>
      </c>
      <c r="O27" s="1" t="str">
        <f>IF('LISTES JOUEURS'!BJ27="","",'LISTES JOUEURS'!BJ27)</f>
        <v/>
      </c>
      <c r="P27" s="1" t="str">
        <f>IF('LISTES JOUEURS'!AK27="","",'LISTES JOUEURS'!AK27)</f>
        <v/>
      </c>
      <c r="Q27" s="1" t="str">
        <f>IF('LISTES JOUEURS'!AP27="","",'LISTES JOUEURS'!AP27)</f>
        <v/>
      </c>
      <c r="R27" s="1" t="str">
        <f>IF('LISTES JOUEURS'!AU27="","",'LISTES JOUEURS'!AU27)</f>
        <v/>
      </c>
      <c r="S27" s="1" t="str">
        <f>IF('LISTES JOUEURS'!B27="","",'LISTES JOUEURS'!B27)</f>
        <v/>
      </c>
      <c r="T27" s="18" t="str">
        <f>IF('LISTES JOUEURS'!G27="","",'LISTES JOUEURS'!G27)</f>
        <v/>
      </c>
    </row>
    <row r="28" spans="7:43" x14ac:dyDescent="0.25">
      <c r="G28">
        <v>27</v>
      </c>
      <c r="H28" s="17" t="str">
        <f>IF('LISTES JOUEURS'!L28="","",'LISTES JOUEURS'!L28)</f>
        <v/>
      </c>
      <c r="I28" s="1" t="str">
        <f>IF('LISTES JOUEURS'!Q28="","",'LISTES JOUEURS'!Q28)</f>
        <v/>
      </c>
      <c r="J28" s="1" t="str">
        <f>IF('LISTES JOUEURS'!V28="","",'LISTES JOUEURS'!V28)</f>
        <v/>
      </c>
      <c r="K28" s="1" t="str">
        <f>IF('LISTES JOUEURS'!AA28="","",'LISTES JOUEURS'!AA28)</f>
        <v/>
      </c>
      <c r="L28" s="1" t="str">
        <f>IF('LISTES JOUEURS'!AF28="","",'LISTES JOUEURS'!AF28)</f>
        <v/>
      </c>
      <c r="M28" s="1" t="str">
        <f>IF('LISTES JOUEURS'!AZ28="","",'LISTES JOUEURS'!AZ28)</f>
        <v/>
      </c>
      <c r="N28" s="1" t="str">
        <f>IF('LISTES JOUEURS'!BE28="","",'LISTES JOUEURS'!BE28)</f>
        <v/>
      </c>
      <c r="O28" s="1" t="str">
        <f>IF('LISTES JOUEURS'!BJ28="","",'LISTES JOUEURS'!BJ28)</f>
        <v/>
      </c>
      <c r="P28" s="1" t="str">
        <f>IF('LISTES JOUEURS'!AK28="","",'LISTES JOUEURS'!AK28)</f>
        <v/>
      </c>
      <c r="Q28" s="1" t="str">
        <f>IF('LISTES JOUEURS'!AP28="","",'LISTES JOUEURS'!AP28)</f>
        <v/>
      </c>
      <c r="R28" s="1" t="str">
        <f>IF('LISTES JOUEURS'!AU28="","",'LISTES JOUEURS'!AU28)</f>
        <v/>
      </c>
      <c r="S28" s="1" t="str">
        <f>IF('LISTES JOUEURS'!B28="","",'LISTES JOUEURS'!B28)</f>
        <v/>
      </c>
      <c r="T28" s="18" t="str">
        <f>IF('LISTES JOUEURS'!G28="","",'LISTES JOUEURS'!G28)</f>
        <v/>
      </c>
    </row>
    <row r="29" spans="7:43" x14ac:dyDescent="0.25">
      <c r="G29">
        <v>28</v>
      </c>
      <c r="H29" s="17" t="str">
        <f>IF('LISTES JOUEURS'!L29="","",'LISTES JOUEURS'!L29)</f>
        <v/>
      </c>
      <c r="I29" s="1" t="str">
        <f>IF('LISTES JOUEURS'!Q29="","",'LISTES JOUEURS'!Q29)</f>
        <v/>
      </c>
      <c r="J29" s="1" t="str">
        <f>IF('LISTES JOUEURS'!V29="","",'LISTES JOUEURS'!V29)</f>
        <v/>
      </c>
      <c r="K29" s="1" t="str">
        <f>IF('LISTES JOUEURS'!AA29="","",'LISTES JOUEURS'!AA29)</f>
        <v/>
      </c>
      <c r="L29" s="1" t="str">
        <f>IF('LISTES JOUEURS'!AF29="","",'LISTES JOUEURS'!AF29)</f>
        <v/>
      </c>
      <c r="M29" s="1" t="str">
        <f>IF('LISTES JOUEURS'!AZ29="","",'LISTES JOUEURS'!AZ29)</f>
        <v/>
      </c>
      <c r="N29" s="1" t="str">
        <f>IF('LISTES JOUEURS'!BE29="","",'LISTES JOUEURS'!BE29)</f>
        <v/>
      </c>
      <c r="O29" s="1" t="str">
        <f>IF('LISTES JOUEURS'!BJ29="","",'LISTES JOUEURS'!BJ29)</f>
        <v/>
      </c>
      <c r="P29" s="1" t="str">
        <f>IF('LISTES JOUEURS'!AK29="","",'LISTES JOUEURS'!AK29)</f>
        <v/>
      </c>
      <c r="Q29" s="1" t="str">
        <f>IF('LISTES JOUEURS'!AP29="","",'LISTES JOUEURS'!AP29)</f>
        <v/>
      </c>
      <c r="R29" s="1" t="str">
        <f>IF('LISTES JOUEURS'!AU29="","",'LISTES JOUEURS'!AU29)</f>
        <v/>
      </c>
      <c r="S29" s="1" t="str">
        <f>IF('LISTES JOUEURS'!B29="","",'LISTES JOUEURS'!B29)</f>
        <v/>
      </c>
      <c r="T29" s="18" t="str">
        <f>IF('LISTES JOUEURS'!G29="","",'LISTES JOUEURS'!G29)</f>
        <v/>
      </c>
    </row>
    <row r="30" spans="7:43" x14ac:dyDescent="0.25">
      <c r="G30">
        <v>29</v>
      </c>
      <c r="H30" s="17" t="str">
        <f>IF('LISTES JOUEURS'!L30="","",'LISTES JOUEURS'!L30)</f>
        <v/>
      </c>
      <c r="I30" s="1" t="str">
        <f>IF('LISTES JOUEURS'!Q30="","",'LISTES JOUEURS'!Q30)</f>
        <v/>
      </c>
      <c r="J30" s="1" t="str">
        <f>IF('LISTES JOUEURS'!V30="","",'LISTES JOUEURS'!V30)</f>
        <v/>
      </c>
      <c r="K30" s="1" t="str">
        <f>IF('LISTES JOUEURS'!AA30="","",'LISTES JOUEURS'!AA30)</f>
        <v/>
      </c>
      <c r="L30" s="1" t="str">
        <f>IF('LISTES JOUEURS'!AF30="","",'LISTES JOUEURS'!AF30)</f>
        <v/>
      </c>
      <c r="M30" s="1" t="str">
        <f>IF('LISTES JOUEURS'!AZ30="","",'LISTES JOUEURS'!AZ30)</f>
        <v/>
      </c>
      <c r="N30" s="1" t="str">
        <f>IF('LISTES JOUEURS'!BE30="","",'LISTES JOUEURS'!BE30)</f>
        <v/>
      </c>
      <c r="O30" s="1" t="str">
        <f>IF('LISTES JOUEURS'!BJ30="","",'LISTES JOUEURS'!BJ30)</f>
        <v/>
      </c>
      <c r="P30" s="1" t="str">
        <f>IF('LISTES JOUEURS'!AK30="","",'LISTES JOUEURS'!AK30)</f>
        <v/>
      </c>
      <c r="Q30" s="1" t="str">
        <f>IF('LISTES JOUEURS'!AP30="","",'LISTES JOUEURS'!AP30)</f>
        <v/>
      </c>
      <c r="R30" s="1" t="str">
        <f>IF('LISTES JOUEURS'!AU30="","",'LISTES JOUEURS'!AU30)</f>
        <v/>
      </c>
      <c r="S30" s="1" t="str">
        <f>IF('LISTES JOUEURS'!B30="","",'LISTES JOUEURS'!B30)</f>
        <v/>
      </c>
      <c r="T30" s="18" t="str">
        <f>IF('LISTES JOUEURS'!G30="","",'LISTES JOUEURS'!G30)</f>
        <v/>
      </c>
    </row>
    <row r="31" spans="7:43" x14ac:dyDescent="0.25">
      <c r="G31">
        <v>30</v>
      </c>
      <c r="H31" s="17" t="str">
        <f>IF('LISTES JOUEURS'!L31="","",'LISTES JOUEURS'!L31)</f>
        <v/>
      </c>
      <c r="I31" s="1" t="str">
        <f>IF('LISTES JOUEURS'!Q31="","",'LISTES JOUEURS'!Q31)</f>
        <v/>
      </c>
      <c r="J31" s="1" t="str">
        <f>IF('LISTES JOUEURS'!V31="","",'LISTES JOUEURS'!V31)</f>
        <v/>
      </c>
      <c r="K31" s="1" t="str">
        <f>IF('LISTES JOUEURS'!AA31="","",'LISTES JOUEURS'!AA31)</f>
        <v/>
      </c>
      <c r="L31" s="1" t="str">
        <f>IF('LISTES JOUEURS'!AF31="","",'LISTES JOUEURS'!AF31)</f>
        <v/>
      </c>
      <c r="M31" s="1" t="str">
        <f>IF('LISTES JOUEURS'!AZ31="","",'LISTES JOUEURS'!AZ31)</f>
        <v/>
      </c>
      <c r="N31" s="1" t="str">
        <f>IF('LISTES JOUEURS'!BE31="","",'LISTES JOUEURS'!BE31)</f>
        <v/>
      </c>
      <c r="O31" s="1" t="str">
        <f>IF('LISTES JOUEURS'!BJ31="","",'LISTES JOUEURS'!BJ31)</f>
        <v/>
      </c>
      <c r="P31" s="1" t="str">
        <f>IF('LISTES JOUEURS'!AK31="","",'LISTES JOUEURS'!AK31)</f>
        <v/>
      </c>
      <c r="Q31" s="1" t="str">
        <f>IF('LISTES JOUEURS'!AP31="","",'LISTES JOUEURS'!AP31)</f>
        <v/>
      </c>
      <c r="R31" s="1" t="str">
        <f>IF('LISTES JOUEURS'!AU31="","",'LISTES JOUEURS'!AU31)</f>
        <v/>
      </c>
      <c r="S31" s="1" t="str">
        <f>IF('LISTES JOUEURS'!B31="","",'LISTES JOUEURS'!B31)</f>
        <v/>
      </c>
      <c r="T31" s="18" t="str">
        <f>IF('LISTES JOUEURS'!G31="","",'LISTES JOUEURS'!G31)</f>
        <v/>
      </c>
    </row>
    <row r="32" spans="7:43" x14ac:dyDescent="0.25">
      <c r="G32">
        <v>31</v>
      </c>
      <c r="H32" s="17" t="str">
        <f>IF('LISTES JOUEURS'!L32="","",'LISTES JOUEURS'!L32)</f>
        <v/>
      </c>
      <c r="I32" s="1" t="str">
        <f>IF('LISTES JOUEURS'!Q32="","",'LISTES JOUEURS'!Q32)</f>
        <v/>
      </c>
      <c r="J32" s="1" t="str">
        <f>IF('LISTES JOUEURS'!V32="","",'LISTES JOUEURS'!V32)</f>
        <v/>
      </c>
      <c r="K32" s="1" t="str">
        <f>IF('LISTES JOUEURS'!AA32="","",'LISTES JOUEURS'!AA32)</f>
        <v/>
      </c>
      <c r="L32" s="1" t="str">
        <f>IF('LISTES JOUEURS'!AF32="","",'LISTES JOUEURS'!AF32)</f>
        <v/>
      </c>
      <c r="M32" s="1" t="str">
        <f>IF('LISTES JOUEURS'!AZ32="","",'LISTES JOUEURS'!AZ32)</f>
        <v/>
      </c>
      <c r="N32" s="1" t="str">
        <f>IF('LISTES JOUEURS'!BE32="","",'LISTES JOUEURS'!BE32)</f>
        <v/>
      </c>
      <c r="O32" s="1" t="str">
        <f>IF('LISTES JOUEURS'!BJ32="","",'LISTES JOUEURS'!BJ32)</f>
        <v/>
      </c>
      <c r="P32" s="1" t="str">
        <f>IF('LISTES JOUEURS'!AK32="","",'LISTES JOUEURS'!AK32)</f>
        <v/>
      </c>
      <c r="Q32" s="1" t="str">
        <f>IF('LISTES JOUEURS'!AP32="","",'LISTES JOUEURS'!AP32)</f>
        <v/>
      </c>
      <c r="R32" s="1" t="str">
        <f>IF('LISTES JOUEURS'!AU32="","",'LISTES JOUEURS'!AU32)</f>
        <v/>
      </c>
      <c r="S32" s="1" t="str">
        <f>IF('LISTES JOUEURS'!B32="","",'LISTES JOUEURS'!B32)</f>
        <v/>
      </c>
      <c r="T32" s="18" t="str">
        <f>IF('LISTES JOUEURS'!G32="","",'LISTES JOUEURS'!G32)</f>
        <v/>
      </c>
      <c r="X32" s="1" t="str">
        <f t="shared" si="0"/>
        <v>MALVAREZ Jean</v>
      </c>
      <c r="Y32" s="1">
        <v>102806</v>
      </c>
      <c r="Z32" s="1" t="s">
        <v>51</v>
      </c>
      <c r="AA32" s="1">
        <v>3.72</v>
      </c>
      <c r="AB32" s="1" t="s">
        <v>175</v>
      </c>
    </row>
    <row r="33" spans="7:28" x14ac:dyDescent="0.25">
      <c r="G33">
        <v>32</v>
      </c>
      <c r="H33" s="17" t="str">
        <f>IF('LISTES JOUEURS'!L33="","",'LISTES JOUEURS'!L33)</f>
        <v/>
      </c>
      <c r="I33" s="1" t="str">
        <f>IF('LISTES JOUEURS'!Q33="","",'LISTES JOUEURS'!Q33)</f>
        <v/>
      </c>
      <c r="J33" s="1" t="str">
        <f>IF('LISTES JOUEURS'!V33="","",'LISTES JOUEURS'!V33)</f>
        <v/>
      </c>
      <c r="K33" s="1" t="str">
        <f>IF('LISTES JOUEURS'!AA33="","",'LISTES JOUEURS'!AA33)</f>
        <v/>
      </c>
      <c r="L33" s="1" t="str">
        <f>IF('LISTES JOUEURS'!AF33="","",'LISTES JOUEURS'!AF33)</f>
        <v/>
      </c>
      <c r="M33" s="1" t="str">
        <f>IF('LISTES JOUEURS'!AZ33="","",'LISTES JOUEURS'!AZ33)</f>
        <v/>
      </c>
      <c r="N33" s="1" t="str">
        <f>IF('LISTES JOUEURS'!BE33="","",'LISTES JOUEURS'!BE33)</f>
        <v/>
      </c>
      <c r="O33" s="1" t="str">
        <f>IF('LISTES JOUEURS'!BJ33="","",'LISTES JOUEURS'!BJ33)</f>
        <v/>
      </c>
      <c r="P33" s="1" t="str">
        <f>IF('LISTES JOUEURS'!AK33="","",'LISTES JOUEURS'!AK33)</f>
        <v/>
      </c>
      <c r="Q33" s="1" t="str">
        <f>IF('LISTES JOUEURS'!AP33="","",'LISTES JOUEURS'!AP33)</f>
        <v/>
      </c>
      <c r="R33" s="1" t="str">
        <f>IF('LISTES JOUEURS'!AU33="","",'LISTES JOUEURS'!AU33)</f>
        <v/>
      </c>
      <c r="S33" s="1" t="str">
        <f>IF('LISTES JOUEURS'!B33="","",'LISTES JOUEURS'!B33)</f>
        <v/>
      </c>
      <c r="T33" s="18" t="str">
        <f>IF('LISTES JOUEURS'!G33="","",'LISTES JOUEURS'!G33)</f>
        <v/>
      </c>
      <c r="X33" s="1" t="str">
        <f t="shared" si="0"/>
        <v>RAVAGLI François</v>
      </c>
      <c r="Y33" s="1">
        <v>112364</v>
      </c>
      <c r="Z33" s="1" t="s">
        <v>48</v>
      </c>
      <c r="AA33" s="1">
        <v>3.62</v>
      </c>
      <c r="AB33" s="1" t="s">
        <v>175</v>
      </c>
    </row>
    <row r="34" spans="7:28" x14ac:dyDescent="0.25">
      <c r="G34">
        <v>33</v>
      </c>
      <c r="H34" s="17" t="str">
        <f>IF('LISTES JOUEURS'!L34="","",'LISTES JOUEURS'!L34)</f>
        <v/>
      </c>
      <c r="I34" s="1" t="str">
        <f>IF('LISTES JOUEURS'!Q34="","",'LISTES JOUEURS'!Q34)</f>
        <v/>
      </c>
      <c r="J34" s="1" t="str">
        <f>IF('LISTES JOUEURS'!V34="","",'LISTES JOUEURS'!V34)</f>
        <v/>
      </c>
      <c r="K34" s="1" t="str">
        <f>IF('LISTES JOUEURS'!AA34="","",'LISTES JOUEURS'!AA34)</f>
        <v/>
      </c>
      <c r="L34" s="1" t="str">
        <f>IF('LISTES JOUEURS'!AF34="","",'LISTES JOUEURS'!AF34)</f>
        <v/>
      </c>
      <c r="M34" s="1" t="str">
        <f>IF('LISTES JOUEURS'!AZ34="","",'LISTES JOUEURS'!AZ34)</f>
        <v/>
      </c>
      <c r="N34" s="1" t="str">
        <f>IF('LISTES JOUEURS'!BE34="","",'LISTES JOUEURS'!BE34)</f>
        <v/>
      </c>
      <c r="O34" s="1" t="str">
        <f>IF('LISTES JOUEURS'!BJ34="","",'LISTES JOUEURS'!BJ34)</f>
        <v/>
      </c>
      <c r="P34" s="1" t="str">
        <f>IF('LISTES JOUEURS'!AK34="","",'LISTES JOUEURS'!AK34)</f>
        <v/>
      </c>
      <c r="Q34" s="1" t="str">
        <f>IF('LISTES JOUEURS'!AP34="","",'LISTES JOUEURS'!AP34)</f>
        <v/>
      </c>
      <c r="R34" s="1" t="str">
        <f>IF('LISTES JOUEURS'!AU34="","",'LISTES JOUEURS'!AU34)</f>
        <v/>
      </c>
      <c r="S34" s="1" t="str">
        <f>IF('LISTES JOUEURS'!B34="","",'LISTES JOUEURS'!B34)</f>
        <v/>
      </c>
      <c r="T34" s="18" t="str">
        <f>IF('LISTES JOUEURS'!G34="","",'LISTES JOUEURS'!G34)</f>
        <v/>
      </c>
      <c r="X34" s="1" t="str">
        <f t="shared" si="0"/>
        <v>BORRACCINO Michel</v>
      </c>
      <c r="Y34" s="1">
        <v>14821</v>
      </c>
      <c r="Z34" s="1" t="s">
        <v>17</v>
      </c>
      <c r="AA34" s="1">
        <v>3.43</v>
      </c>
      <c r="AB34" s="1" t="s">
        <v>154</v>
      </c>
    </row>
    <row r="35" spans="7:28" x14ac:dyDescent="0.25">
      <c r="G35">
        <v>34</v>
      </c>
      <c r="H35" s="17" t="str">
        <f>IF('LISTES JOUEURS'!L35="","",'LISTES JOUEURS'!L35)</f>
        <v/>
      </c>
      <c r="I35" s="1" t="str">
        <f>IF('LISTES JOUEURS'!Q35="","",'LISTES JOUEURS'!Q35)</f>
        <v/>
      </c>
      <c r="J35" s="1" t="str">
        <f>IF('LISTES JOUEURS'!V35="","",'LISTES JOUEURS'!V35)</f>
        <v/>
      </c>
      <c r="K35" s="1" t="str">
        <f>IF('LISTES JOUEURS'!AA35="","",'LISTES JOUEURS'!AA35)</f>
        <v/>
      </c>
      <c r="L35" s="1" t="str">
        <f>IF('LISTES JOUEURS'!AF35="","",'LISTES JOUEURS'!AF35)</f>
        <v/>
      </c>
      <c r="M35" s="1" t="str">
        <f>IF('LISTES JOUEURS'!AZ35="","",'LISTES JOUEURS'!AZ35)</f>
        <v/>
      </c>
      <c r="N35" s="1" t="str">
        <f>IF('LISTES JOUEURS'!BE35="","",'LISTES JOUEURS'!BE35)</f>
        <v/>
      </c>
      <c r="O35" s="1" t="str">
        <f>IF('LISTES JOUEURS'!BJ35="","",'LISTES JOUEURS'!BJ35)</f>
        <v/>
      </c>
      <c r="P35" s="1" t="str">
        <f>IF('LISTES JOUEURS'!AK35="","",'LISTES JOUEURS'!AK35)</f>
        <v/>
      </c>
      <c r="Q35" s="1" t="str">
        <f>IF('LISTES JOUEURS'!AP35="","",'LISTES JOUEURS'!AP35)</f>
        <v/>
      </c>
      <c r="R35" s="1" t="str">
        <f>IF('LISTES JOUEURS'!AU35="","",'LISTES JOUEURS'!AU35)</f>
        <v/>
      </c>
      <c r="S35" s="1" t="str">
        <f>IF('LISTES JOUEURS'!B35="","",'LISTES JOUEURS'!B35)</f>
        <v/>
      </c>
      <c r="T35" s="18" t="str">
        <f>IF('LISTES JOUEURS'!G35="","",'LISTES JOUEURS'!G35)</f>
        <v/>
      </c>
      <c r="X35" s="1" t="str">
        <f t="shared" si="0"/>
        <v>NGUYEN Van Luan</v>
      </c>
      <c r="Y35" s="1">
        <v>123030</v>
      </c>
      <c r="Z35" s="1" t="s">
        <v>63</v>
      </c>
      <c r="AA35" s="1">
        <v>3.39</v>
      </c>
      <c r="AB35" s="1" t="s">
        <v>170</v>
      </c>
    </row>
    <row r="36" spans="7:28" x14ac:dyDescent="0.25">
      <c r="G36">
        <v>35</v>
      </c>
      <c r="H36" s="17" t="str">
        <f>IF('LISTES JOUEURS'!L36="","",'LISTES JOUEURS'!L36)</f>
        <v/>
      </c>
      <c r="I36" s="1" t="str">
        <f>IF('LISTES JOUEURS'!Q36="","",'LISTES JOUEURS'!Q36)</f>
        <v/>
      </c>
      <c r="J36" s="1" t="str">
        <f>IF('LISTES JOUEURS'!V36="","",'LISTES JOUEURS'!V36)</f>
        <v/>
      </c>
      <c r="K36" s="1" t="str">
        <f>IF('LISTES JOUEURS'!AA36="","",'LISTES JOUEURS'!AA36)</f>
        <v/>
      </c>
      <c r="L36" s="1" t="str">
        <f>IF('LISTES JOUEURS'!AF36="","",'LISTES JOUEURS'!AF36)</f>
        <v/>
      </c>
      <c r="M36" s="1" t="str">
        <f>IF('LISTES JOUEURS'!AZ36="","",'LISTES JOUEURS'!AZ36)</f>
        <v/>
      </c>
      <c r="N36" s="1" t="str">
        <f>IF('LISTES JOUEURS'!BE36="","",'LISTES JOUEURS'!BE36)</f>
        <v/>
      </c>
      <c r="O36" s="1" t="str">
        <f>IF('LISTES JOUEURS'!BJ36="","",'LISTES JOUEURS'!BJ36)</f>
        <v/>
      </c>
      <c r="P36" s="1" t="str">
        <f>IF('LISTES JOUEURS'!AK36="","",'LISTES JOUEURS'!AK36)</f>
        <v/>
      </c>
      <c r="Q36" s="1" t="str">
        <f>IF('LISTES JOUEURS'!AP36="","",'LISTES JOUEURS'!AP36)</f>
        <v/>
      </c>
      <c r="R36" s="1" t="str">
        <f>IF('LISTES JOUEURS'!AU36="","",'LISTES JOUEURS'!AU36)</f>
        <v/>
      </c>
      <c r="S36" s="1" t="str">
        <f>IF('LISTES JOUEURS'!B36="","",'LISTES JOUEURS'!B36)</f>
        <v/>
      </c>
      <c r="T36" s="18" t="str">
        <f>IF('LISTES JOUEURS'!G36="","",'LISTES JOUEURS'!G36)</f>
        <v/>
      </c>
      <c r="X36" s="1" t="str">
        <f t="shared" si="0"/>
        <v>MATHIS Jean</v>
      </c>
      <c r="Y36" s="1">
        <v>15197</v>
      </c>
      <c r="Z36" s="1" t="s">
        <v>50</v>
      </c>
      <c r="AA36" s="1">
        <v>3.29</v>
      </c>
      <c r="AB36" s="1" t="s">
        <v>162</v>
      </c>
    </row>
    <row r="37" spans="7:28" x14ac:dyDescent="0.25">
      <c r="G37">
        <v>36</v>
      </c>
      <c r="H37" s="17" t="str">
        <f>IF('LISTES JOUEURS'!L37="","",'LISTES JOUEURS'!L37)</f>
        <v/>
      </c>
      <c r="I37" s="1" t="str">
        <f>IF('LISTES JOUEURS'!Q37="","",'LISTES JOUEURS'!Q37)</f>
        <v/>
      </c>
      <c r="J37" s="1" t="str">
        <f>IF('LISTES JOUEURS'!V37="","",'LISTES JOUEURS'!V37)</f>
        <v/>
      </c>
      <c r="K37" s="1" t="str">
        <f>IF('LISTES JOUEURS'!AA37="","",'LISTES JOUEURS'!AA37)</f>
        <v/>
      </c>
      <c r="L37" s="1" t="str">
        <f>IF('LISTES JOUEURS'!AF37="","",'LISTES JOUEURS'!AF37)</f>
        <v/>
      </c>
      <c r="M37" s="1" t="str">
        <f>IF('LISTES JOUEURS'!AZ37="","",'LISTES JOUEURS'!AZ37)</f>
        <v/>
      </c>
      <c r="N37" s="1" t="str">
        <f>IF('LISTES JOUEURS'!BE37="","",'LISTES JOUEURS'!BE37)</f>
        <v/>
      </c>
      <c r="O37" s="1" t="str">
        <f>IF('LISTES JOUEURS'!BJ37="","",'LISTES JOUEURS'!BJ37)</f>
        <v/>
      </c>
      <c r="P37" s="1" t="str">
        <f>IF('LISTES JOUEURS'!AK37="","",'LISTES JOUEURS'!AK37)</f>
        <v/>
      </c>
      <c r="Q37" s="1" t="str">
        <f>IF('LISTES JOUEURS'!AP37="","",'LISTES JOUEURS'!AP37)</f>
        <v/>
      </c>
      <c r="R37" s="1" t="str">
        <f>IF('LISTES JOUEURS'!AU37="","",'LISTES JOUEURS'!AU37)</f>
        <v/>
      </c>
      <c r="S37" s="1" t="str">
        <f>IF('LISTES JOUEURS'!B37="","",'LISTES JOUEURS'!B37)</f>
        <v/>
      </c>
      <c r="T37" s="18" t="str">
        <f>IF('LISTES JOUEURS'!G37="","",'LISTES JOUEURS'!G37)</f>
        <v/>
      </c>
      <c r="X37" s="1" t="str">
        <f t="shared" si="0"/>
        <v>CLAUSS Frédéric</v>
      </c>
      <c r="Y37" s="1">
        <v>150579</v>
      </c>
      <c r="Z37" s="1" t="s">
        <v>29</v>
      </c>
      <c r="AA37" s="1">
        <v>2.93</v>
      </c>
      <c r="AB37" s="1" t="s">
        <v>156</v>
      </c>
    </row>
    <row r="38" spans="7:28" x14ac:dyDescent="0.25">
      <c r="G38">
        <v>37</v>
      </c>
      <c r="H38" s="17" t="str">
        <f>IF('LISTES JOUEURS'!L38="","",'LISTES JOUEURS'!L38)</f>
        <v/>
      </c>
      <c r="I38" s="1" t="str">
        <f>IF('LISTES JOUEURS'!Q38="","",'LISTES JOUEURS'!Q38)</f>
        <v/>
      </c>
      <c r="J38" s="1" t="str">
        <f>IF('LISTES JOUEURS'!V38="","",'LISTES JOUEURS'!V38)</f>
        <v/>
      </c>
      <c r="K38" s="1" t="str">
        <f>IF('LISTES JOUEURS'!AA38="","",'LISTES JOUEURS'!AA38)</f>
        <v/>
      </c>
      <c r="L38" s="1" t="str">
        <f>IF('LISTES JOUEURS'!AF38="","",'LISTES JOUEURS'!AF38)</f>
        <v/>
      </c>
      <c r="M38" s="1" t="str">
        <f>IF('LISTES JOUEURS'!AZ38="","",'LISTES JOUEURS'!AZ38)</f>
        <v/>
      </c>
      <c r="N38" s="1" t="str">
        <f>IF('LISTES JOUEURS'!BE38="","",'LISTES JOUEURS'!BE38)</f>
        <v/>
      </c>
      <c r="O38" s="1" t="str">
        <f>IF('LISTES JOUEURS'!BJ38="","",'LISTES JOUEURS'!BJ38)</f>
        <v/>
      </c>
      <c r="P38" s="1" t="str">
        <f>IF('LISTES JOUEURS'!AK38="","",'LISTES JOUEURS'!AK38)</f>
        <v/>
      </c>
      <c r="Q38" s="1" t="str">
        <f>IF('LISTES JOUEURS'!AP38="","",'LISTES JOUEURS'!AP38)</f>
        <v/>
      </c>
      <c r="R38" s="1" t="str">
        <f>IF('LISTES JOUEURS'!AU38="","",'LISTES JOUEURS'!AU38)</f>
        <v/>
      </c>
      <c r="S38" s="1" t="str">
        <f>IF('LISTES JOUEURS'!B38="","",'LISTES JOUEURS'!B38)</f>
        <v/>
      </c>
      <c r="T38" s="18" t="str">
        <f>IF('LISTES JOUEURS'!G38="","",'LISTES JOUEURS'!G38)</f>
        <v/>
      </c>
    </row>
    <row r="39" spans="7:28" x14ac:dyDescent="0.25">
      <c r="G39">
        <v>38</v>
      </c>
      <c r="H39" s="17" t="str">
        <f>IF('LISTES JOUEURS'!L39="","",'LISTES JOUEURS'!L39)</f>
        <v/>
      </c>
      <c r="I39" s="1" t="str">
        <f>IF('LISTES JOUEURS'!Q39="","",'LISTES JOUEURS'!Q39)</f>
        <v/>
      </c>
      <c r="J39" s="1" t="str">
        <f>IF('LISTES JOUEURS'!V39="","",'LISTES JOUEURS'!V39)</f>
        <v/>
      </c>
      <c r="K39" s="1" t="str">
        <f>IF('LISTES JOUEURS'!AA39="","",'LISTES JOUEURS'!AA39)</f>
        <v/>
      </c>
      <c r="L39" s="1" t="str">
        <f>IF('LISTES JOUEURS'!AF39="","",'LISTES JOUEURS'!AF39)</f>
        <v/>
      </c>
      <c r="M39" s="1" t="str">
        <f>IF('LISTES JOUEURS'!AZ39="","",'LISTES JOUEURS'!AZ39)</f>
        <v/>
      </c>
      <c r="N39" s="1" t="str">
        <f>IF('LISTES JOUEURS'!BE39="","",'LISTES JOUEURS'!BE39)</f>
        <v/>
      </c>
      <c r="O39" s="1" t="str">
        <f>IF('LISTES JOUEURS'!BJ39="","",'LISTES JOUEURS'!BJ39)</f>
        <v/>
      </c>
      <c r="P39" s="1" t="str">
        <f>IF('LISTES JOUEURS'!AK39="","",'LISTES JOUEURS'!AK39)</f>
        <v/>
      </c>
      <c r="Q39" s="1" t="str">
        <f>IF('LISTES JOUEURS'!AP39="","",'LISTES JOUEURS'!AP39)</f>
        <v/>
      </c>
      <c r="R39" s="1" t="str">
        <f>IF('LISTES JOUEURS'!AU39="","",'LISTES JOUEURS'!AU39)</f>
        <v/>
      </c>
      <c r="S39" s="1" t="str">
        <f>IF('LISTES JOUEURS'!B39="","",'LISTES JOUEURS'!B39)</f>
        <v/>
      </c>
      <c r="T39" s="18" t="str">
        <f>IF('LISTES JOUEURS'!G39="","",'LISTES JOUEURS'!G39)</f>
        <v/>
      </c>
      <c r="X39" s="1" t="str">
        <f t="shared" si="0"/>
        <v>LENA Daniel</v>
      </c>
      <c r="Y39" s="1">
        <v>15086</v>
      </c>
      <c r="Z39" s="1" t="s">
        <v>56</v>
      </c>
      <c r="AA39" s="1">
        <v>2.85</v>
      </c>
      <c r="AB39" s="1" t="s">
        <v>164</v>
      </c>
    </row>
    <row r="40" spans="7:28" x14ac:dyDescent="0.25">
      <c r="G40">
        <v>39</v>
      </c>
      <c r="H40" s="17" t="str">
        <f>IF('LISTES JOUEURS'!L40="","",'LISTES JOUEURS'!L40)</f>
        <v/>
      </c>
      <c r="I40" s="1" t="str">
        <f>IF('LISTES JOUEURS'!Q40="","",'LISTES JOUEURS'!Q40)</f>
        <v/>
      </c>
      <c r="J40" s="1" t="str">
        <f>IF('LISTES JOUEURS'!V40="","",'LISTES JOUEURS'!V40)</f>
        <v/>
      </c>
      <c r="K40" s="1" t="str">
        <f>IF('LISTES JOUEURS'!AA40="","",'LISTES JOUEURS'!AA40)</f>
        <v/>
      </c>
      <c r="L40" s="1" t="str">
        <f>IF('LISTES JOUEURS'!AF40="","",'LISTES JOUEURS'!AF40)</f>
        <v/>
      </c>
      <c r="M40" s="1" t="str">
        <f>IF('LISTES JOUEURS'!AZ40="","",'LISTES JOUEURS'!AZ40)</f>
        <v/>
      </c>
      <c r="N40" s="1" t="str">
        <f>IF('LISTES JOUEURS'!BE40="","",'LISTES JOUEURS'!BE40)</f>
        <v/>
      </c>
      <c r="O40" s="1" t="str">
        <f>IF('LISTES JOUEURS'!BJ40="","",'LISTES JOUEURS'!BJ40)</f>
        <v/>
      </c>
      <c r="P40" s="1" t="str">
        <f>IF('LISTES JOUEURS'!AK40="","",'LISTES JOUEURS'!AK40)</f>
        <v/>
      </c>
      <c r="Q40" s="1" t="str">
        <f>IF('LISTES JOUEURS'!AP40="","",'LISTES JOUEURS'!AP40)</f>
        <v/>
      </c>
      <c r="R40" s="1" t="str">
        <f>IF('LISTES JOUEURS'!AU40="","",'LISTES JOUEURS'!AU40)</f>
        <v/>
      </c>
      <c r="S40" s="1" t="str">
        <f>IF('LISTES JOUEURS'!B40="","",'LISTES JOUEURS'!B40)</f>
        <v/>
      </c>
      <c r="T40" s="18" t="str">
        <f>IF('LISTES JOUEURS'!G40="","",'LISTES JOUEURS'!G40)</f>
        <v/>
      </c>
      <c r="X40" s="1" t="str">
        <f t="shared" si="0"/>
        <v>COLOMBO Alain</v>
      </c>
      <c r="Y40" s="1">
        <v>135812</v>
      </c>
      <c r="Z40" s="1" t="s">
        <v>342</v>
      </c>
      <c r="AA40" s="1">
        <v>2.85</v>
      </c>
      <c r="AB40" s="1" t="s">
        <v>152</v>
      </c>
    </row>
    <row r="41" spans="7:28" x14ac:dyDescent="0.25">
      <c r="G41">
        <v>40</v>
      </c>
      <c r="H41" s="17" t="str">
        <f>IF('LISTES JOUEURS'!L41="","",'LISTES JOUEURS'!L41)</f>
        <v/>
      </c>
      <c r="I41" s="1" t="str">
        <f>IF('LISTES JOUEURS'!Q41="","",'LISTES JOUEURS'!Q41)</f>
        <v/>
      </c>
      <c r="J41" s="1" t="str">
        <f>IF('LISTES JOUEURS'!V41="","",'LISTES JOUEURS'!V41)</f>
        <v/>
      </c>
      <c r="K41" s="1" t="str">
        <f>IF('LISTES JOUEURS'!AA41="","",'LISTES JOUEURS'!AA41)</f>
        <v/>
      </c>
      <c r="L41" s="1" t="str">
        <f>IF('LISTES JOUEURS'!AF41="","",'LISTES JOUEURS'!AF41)</f>
        <v/>
      </c>
      <c r="M41" s="1" t="str">
        <f>IF('LISTES JOUEURS'!AZ41="","",'LISTES JOUEURS'!AZ41)</f>
        <v/>
      </c>
      <c r="N41" s="1" t="str">
        <f>IF('LISTES JOUEURS'!BE41="","",'LISTES JOUEURS'!BE41)</f>
        <v/>
      </c>
      <c r="O41" s="1" t="str">
        <f>IF('LISTES JOUEURS'!BJ41="","",'LISTES JOUEURS'!BJ41)</f>
        <v/>
      </c>
      <c r="P41" s="1" t="str">
        <f>IF('LISTES JOUEURS'!AK41="","",'LISTES JOUEURS'!AK41)</f>
        <v/>
      </c>
      <c r="Q41" s="1" t="str">
        <f>IF('LISTES JOUEURS'!AP41="","",'LISTES JOUEURS'!AP41)</f>
        <v/>
      </c>
      <c r="R41" s="1" t="str">
        <f>IF('LISTES JOUEURS'!AU41="","",'LISTES JOUEURS'!AU41)</f>
        <v/>
      </c>
      <c r="S41" s="1" t="str">
        <f>IF('LISTES JOUEURS'!B41="","",'LISTES JOUEURS'!B41)</f>
        <v/>
      </c>
      <c r="T41" s="18" t="str">
        <f>IF('LISTES JOUEURS'!G41="","",'LISTES JOUEURS'!G41)</f>
        <v/>
      </c>
      <c r="X41" s="1" t="str">
        <f t="shared" si="0"/>
        <v>SCALISI Alfio</v>
      </c>
      <c r="Y41" s="1">
        <v>15023</v>
      </c>
      <c r="Z41" s="1" t="s">
        <v>343</v>
      </c>
      <c r="AA41" s="1">
        <v>2.62</v>
      </c>
      <c r="AB41" s="1" t="s">
        <v>160</v>
      </c>
    </row>
    <row r="42" spans="7:28" x14ac:dyDescent="0.25">
      <c r="H42" s="1">
        <v>2</v>
      </c>
      <c r="I42" s="1">
        <v>3</v>
      </c>
      <c r="J42" s="1">
        <v>4</v>
      </c>
      <c r="K42" s="1">
        <v>5</v>
      </c>
      <c r="L42" s="1">
        <v>6</v>
      </c>
      <c r="M42" s="1">
        <v>7</v>
      </c>
      <c r="N42" s="1">
        <v>8</v>
      </c>
      <c r="O42" s="1">
        <v>9</v>
      </c>
      <c r="P42" s="1">
        <v>10</v>
      </c>
      <c r="Q42" s="1">
        <v>11</v>
      </c>
      <c r="R42" s="1">
        <v>12</v>
      </c>
      <c r="S42" s="1">
        <v>13</v>
      </c>
      <c r="T42" s="1">
        <v>14</v>
      </c>
      <c r="X42" s="1" t="str">
        <f t="shared" si="0"/>
        <v>SACRISTANI Albert</v>
      </c>
      <c r="Y42" s="1">
        <v>15089</v>
      </c>
      <c r="Z42" s="1" t="s">
        <v>72</v>
      </c>
      <c r="AA42" s="1">
        <v>2.6</v>
      </c>
      <c r="AB42" s="1" t="s">
        <v>182</v>
      </c>
    </row>
    <row r="43" spans="7:28" x14ac:dyDescent="0.25">
      <c r="X43" s="1" t="str">
        <f t="shared" si="0"/>
        <v>DAL CORTIVO Paul</v>
      </c>
      <c r="Y43" s="1">
        <v>12884</v>
      </c>
      <c r="Z43" s="1" t="s">
        <v>38</v>
      </c>
      <c r="AA43" s="1">
        <v>2.56</v>
      </c>
      <c r="AB43" s="1" t="s">
        <v>164</v>
      </c>
    </row>
    <row r="44" spans="7:28" x14ac:dyDescent="0.25">
      <c r="H44" s="1" t="str">
        <f>IF('INSCRIPTION DES JOUEURS'!E10="","",'INSCRIPTION DES JOUEURS'!E10)</f>
        <v/>
      </c>
      <c r="X44" s="1" t="str">
        <f t="shared" si="0"/>
        <v>DALLA TORRE Gérard</v>
      </c>
      <c r="Y44" s="1">
        <v>14817</v>
      </c>
      <c r="Z44" s="1" t="s">
        <v>43</v>
      </c>
      <c r="AA44" s="1">
        <v>2.31</v>
      </c>
      <c r="AB44" s="1" t="s">
        <v>164</v>
      </c>
    </row>
    <row r="45" spans="7:28" x14ac:dyDescent="0.25">
      <c r="H45" s="1" t="e">
        <f>HLOOKUP(H44,$H$1:$T$42,31,0)</f>
        <v>#N/A</v>
      </c>
      <c r="X45" s="1" t="str">
        <f t="shared" si="0"/>
        <v>GEORGES Marcel</v>
      </c>
      <c r="Y45" s="1">
        <v>14808</v>
      </c>
      <c r="Z45" s="1" t="s">
        <v>41</v>
      </c>
      <c r="AA45" s="1">
        <v>2.29</v>
      </c>
      <c r="AB45" s="1" t="s">
        <v>154</v>
      </c>
    </row>
    <row r="46" spans="7:28" x14ac:dyDescent="0.25">
      <c r="X46" s="1" t="str">
        <f t="shared" si="0"/>
        <v>GOMEZ Jose</v>
      </c>
      <c r="Y46" s="1">
        <v>131687</v>
      </c>
      <c r="Z46" s="1" t="s">
        <v>344</v>
      </c>
      <c r="AA46" s="1" t="s">
        <v>198</v>
      </c>
      <c r="AB46" s="1" t="s">
        <v>156</v>
      </c>
    </row>
    <row r="47" spans="7:28" x14ac:dyDescent="0.25">
      <c r="X47" s="1">
        <f t="shared" si="0"/>
        <v>0</v>
      </c>
      <c r="Y47" s="1" t="s">
        <v>354</v>
      </c>
    </row>
    <row r="48" spans="7:28" x14ac:dyDescent="0.25">
      <c r="X48" s="1" t="str">
        <f t="shared" si="0"/>
        <v>Nom</v>
      </c>
      <c r="Y48" s="1" t="s">
        <v>148</v>
      </c>
      <c r="Z48" s="1" t="s">
        <v>149</v>
      </c>
      <c r="AA48" s="1" t="s">
        <v>150</v>
      </c>
      <c r="AB48" s="1" t="s">
        <v>350</v>
      </c>
    </row>
    <row r="49" spans="24:28" x14ac:dyDescent="0.25">
      <c r="X49" s="1" t="str">
        <f t="shared" si="0"/>
        <v>DENIS Serge</v>
      </c>
      <c r="Y49" s="1">
        <v>15305</v>
      </c>
      <c r="Z49" s="1" t="s">
        <v>345</v>
      </c>
      <c r="AA49" s="1">
        <v>1.91</v>
      </c>
      <c r="AB49" s="1" t="s">
        <v>160</v>
      </c>
    </row>
    <row r="50" spans="24:28" x14ac:dyDescent="0.25">
      <c r="X50" s="1" t="str">
        <f t="shared" si="0"/>
        <v>FANK François</v>
      </c>
      <c r="Y50" s="1">
        <v>15159</v>
      </c>
      <c r="Z50" s="1" t="s">
        <v>44</v>
      </c>
      <c r="AA50" s="1">
        <v>1.89</v>
      </c>
      <c r="AB50" s="1" t="s">
        <v>152</v>
      </c>
    </row>
    <row r="51" spans="24:28" x14ac:dyDescent="0.25">
      <c r="X51" s="1" t="str">
        <f t="shared" si="0"/>
        <v>CASTELLS Henri</v>
      </c>
      <c r="Y51" s="1">
        <v>107145</v>
      </c>
      <c r="Z51" s="1" t="s">
        <v>18</v>
      </c>
      <c r="AA51" s="1">
        <v>1.85</v>
      </c>
      <c r="AB51" s="1" t="s">
        <v>170</v>
      </c>
    </row>
    <row r="52" spans="24:28" x14ac:dyDescent="0.25">
      <c r="X52" s="1" t="str">
        <f t="shared" si="0"/>
        <v>RONCK Denis</v>
      </c>
      <c r="Y52" s="1">
        <v>147482</v>
      </c>
      <c r="Z52" s="1" t="s">
        <v>67</v>
      </c>
      <c r="AA52" s="1">
        <v>1.83</v>
      </c>
      <c r="AB52" s="1" t="s">
        <v>170</v>
      </c>
    </row>
    <row r="53" spans="24:28" x14ac:dyDescent="0.25">
      <c r="X53" s="1" t="str">
        <f t="shared" si="0"/>
        <v>POIROT Dominique</v>
      </c>
      <c r="Y53" s="1">
        <v>119612</v>
      </c>
      <c r="Z53" s="1" t="s">
        <v>58</v>
      </c>
      <c r="AA53" s="1">
        <v>1.76</v>
      </c>
      <c r="AB53" s="1" t="s">
        <v>156</v>
      </c>
    </row>
    <row r="54" spans="24:28" x14ac:dyDescent="0.25">
      <c r="X54" s="1" t="str">
        <f t="shared" si="0"/>
        <v>KAISER Guillaume</v>
      </c>
      <c r="Y54" s="1">
        <v>104574</v>
      </c>
      <c r="Z54" s="1" t="s">
        <v>68</v>
      </c>
      <c r="AA54" s="1">
        <v>1.69</v>
      </c>
      <c r="AB54" s="1" t="s">
        <v>197</v>
      </c>
    </row>
    <row r="55" spans="24:28" x14ac:dyDescent="0.25">
      <c r="X55" s="1" t="str">
        <f t="shared" si="0"/>
        <v>PARISOT Dominique</v>
      </c>
      <c r="Y55" s="1">
        <v>162922</v>
      </c>
      <c r="Z55" s="1" t="s">
        <v>59</v>
      </c>
      <c r="AA55" s="1">
        <v>1.68</v>
      </c>
      <c r="AB55" s="1" t="s">
        <v>170</v>
      </c>
    </row>
    <row r="56" spans="24:28" x14ac:dyDescent="0.25">
      <c r="X56" s="1" t="str">
        <f t="shared" si="0"/>
        <v>DE VREESE Pierre</v>
      </c>
      <c r="Y56" s="1">
        <v>15407</v>
      </c>
      <c r="Z56" s="1" t="s">
        <v>39</v>
      </c>
      <c r="AA56" s="1">
        <v>1.65</v>
      </c>
      <c r="AB56" s="1" t="s">
        <v>182</v>
      </c>
    </row>
    <row r="57" spans="24:28" x14ac:dyDescent="0.25">
      <c r="X57" s="1" t="str">
        <f t="shared" si="0"/>
        <v>STAMM Jean</v>
      </c>
      <c r="Y57" s="1">
        <v>15205</v>
      </c>
      <c r="Z57" s="1" t="s">
        <v>69</v>
      </c>
      <c r="AA57" s="1">
        <v>1.61</v>
      </c>
      <c r="AB57" s="1" t="s">
        <v>160</v>
      </c>
    </row>
    <row r="58" spans="24:28" x14ac:dyDescent="0.25">
      <c r="X58" s="1" t="str">
        <f t="shared" si="0"/>
        <v>TOSI Charles</v>
      </c>
      <c r="Y58" s="1">
        <v>142040</v>
      </c>
      <c r="Z58" s="1" t="s">
        <v>71</v>
      </c>
      <c r="AA58" s="1">
        <v>1.22</v>
      </c>
      <c r="AB58" s="1" t="s">
        <v>164</v>
      </c>
    </row>
    <row r="59" spans="24:28" x14ac:dyDescent="0.25">
      <c r="X59" s="1" t="str">
        <f t="shared" si="0"/>
        <v>KLEINHENTZ Hubert</v>
      </c>
      <c r="Y59" s="1">
        <v>15291</v>
      </c>
      <c r="Z59" s="1" t="s">
        <v>53</v>
      </c>
      <c r="AA59" s="1">
        <v>1.2</v>
      </c>
      <c r="AB59" s="1" t="s">
        <v>197</v>
      </c>
    </row>
    <row r="60" spans="24:28" x14ac:dyDescent="0.25">
      <c r="X60" s="1">
        <f t="shared" si="0"/>
        <v>0</v>
      </c>
      <c r="Y60" s="1" t="s">
        <v>355</v>
      </c>
    </row>
    <row r="61" spans="24:28" x14ac:dyDescent="0.25">
      <c r="X61" s="1" t="str">
        <f t="shared" si="0"/>
        <v>Nom</v>
      </c>
      <c r="Y61" s="1" t="s">
        <v>148</v>
      </c>
      <c r="Z61" s="1" t="s">
        <v>149</v>
      </c>
      <c r="AA61" s="1" t="s">
        <v>150</v>
      </c>
      <c r="AB61" s="1" t="s">
        <v>350</v>
      </c>
    </row>
    <row r="62" spans="24:28" x14ac:dyDescent="0.25">
      <c r="X62" s="1" t="str">
        <f t="shared" si="0"/>
        <v>CADEL Jacques</v>
      </c>
      <c r="Y62" s="1">
        <v>15576</v>
      </c>
      <c r="Z62" s="1" t="s">
        <v>30</v>
      </c>
      <c r="AA62" s="1">
        <v>0.89</v>
      </c>
      <c r="AB62" s="1" t="s">
        <v>197</v>
      </c>
    </row>
    <row r="63" spans="24:28" x14ac:dyDescent="0.25">
      <c r="X63" s="1" t="str">
        <f t="shared" si="0"/>
        <v>BEDNAREK Jean-Michel</v>
      </c>
      <c r="Y63" s="1">
        <v>145072</v>
      </c>
      <c r="Z63" s="1" t="s">
        <v>272</v>
      </c>
      <c r="AA63" s="1">
        <v>0.89</v>
      </c>
      <c r="AB63" s="1" t="s">
        <v>164</v>
      </c>
    </row>
    <row r="64" spans="24:28" x14ac:dyDescent="0.25">
      <c r="X64" s="1" t="str">
        <f t="shared" si="0"/>
        <v>SANTARELLI Gaston</v>
      </c>
      <c r="Y64" s="1">
        <v>148487</v>
      </c>
      <c r="Z64" s="1" t="s">
        <v>64</v>
      </c>
      <c r="AA64" s="1">
        <v>0.87</v>
      </c>
      <c r="AB64" s="1" t="s">
        <v>203</v>
      </c>
    </row>
    <row r="65" spans="24:28" x14ac:dyDescent="0.25">
      <c r="X65" s="1" t="str">
        <f t="shared" si="0"/>
        <v>RAULY Richard</v>
      </c>
      <c r="Y65" s="1">
        <v>159444</v>
      </c>
      <c r="Z65" s="1" t="s">
        <v>57</v>
      </c>
      <c r="AA65" s="1">
        <v>0.84</v>
      </c>
      <c r="AB65" s="1" t="s">
        <v>170</v>
      </c>
    </row>
    <row r="66" spans="24:28" x14ac:dyDescent="0.25">
      <c r="X66" s="1" t="str">
        <f t="shared" si="0"/>
        <v>IANOTTO Joëlle</v>
      </c>
      <c r="Y66" s="1">
        <v>115448</v>
      </c>
      <c r="Z66" s="1" t="s">
        <v>45</v>
      </c>
      <c r="AA66" s="1">
        <v>0.8</v>
      </c>
      <c r="AB66" s="1" t="s">
        <v>203</v>
      </c>
    </row>
    <row r="67" spans="24:28" x14ac:dyDescent="0.25">
      <c r="X67" s="1" t="str">
        <f t="shared" si="0"/>
        <v>LAVAINE Fabien</v>
      </c>
      <c r="Y67" s="1">
        <v>154587</v>
      </c>
      <c r="Z67" s="1" t="s">
        <v>54</v>
      </c>
      <c r="AA67" s="1">
        <v>0.79</v>
      </c>
      <c r="AB67" s="1" t="s">
        <v>156</v>
      </c>
    </row>
    <row r="68" spans="24:28" x14ac:dyDescent="0.25">
      <c r="X68" s="1" t="str">
        <f t="shared" si="0"/>
        <v>ROSELLO Guy</v>
      </c>
      <c r="Y68" s="1">
        <v>137935</v>
      </c>
      <c r="Z68" s="1" t="s">
        <v>60</v>
      </c>
      <c r="AA68" s="1">
        <v>0.77</v>
      </c>
      <c r="AB68" s="1" t="s">
        <v>173</v>
      </c>
    </row>
    <row r="69" spans="24:28" x14ac:dyDescent="0.25">
      <c r="X69" s="1" t="str">
        <f t="shared" si="0"/>
        <v>CHUIMER Francis</v>
      </c>
      <c r="Y69" s="1">
        <v>152567</v>
      </c>
      <c r="Z69" s="1" t="s">
        <v>346</v>
      </c>
      <c r="AA69" s="1">
        <v>0.6</v>
      </c>
      <c r="AB69" s="1" t="s">
        <v>182</v>
      </c>
    </row>
    <row r="70" spans="24:28" x14ac:dyDescent="0.25">
      <c r="Y70" s="1" t="s">
        <v>228</v>
      </c>
    </row>
    <row r="71" spans="24:28" x14ac:dyDescent="0.25">
      <c r="X71" s="1">
        <f t="shared" si="0"/>
        <v>0</v>
      </c>
      <c r="Y71" s="1" t="s">
        <v>349</v>
      </c>
    </row>
    <row r="72" spans="24:28" x14ac:dyDescent="0.25">
      <c r="X72" s="1" t="str">
        <f t="shared" si="0"/>
        <v>Nom</v>
      </c>
      <c r="Y72" s="1" t="s">
        <v>148</v>
      </c>
      <c r="Z72" s="1" t="s">
        <v>149</v>
      </c>
      <c r="AA72" s="1" t="s">
        <v>150</v>
      </c>
      <c r="AB72" s="1" t="s">
        <v>350</v>
      </c>
    </row>
    <row r="73" spans="24:28" x14ac:dyDescent="0.25">
      <c r="X73" s="1" t="str">
        <f t="shared" si="0"/>
        <v>VADALA Gino</v>
      </c>
      <c r="Y73" s="1">
        <v>14789</v>
      </c>
      <c r="Z73" s="1" t="s">
        <v>341</v>
      </c>
      <c r="AA73" s="1">
        <v>0.49</v>
      </c>
      <c r="AB73" s="1" t="s">
        <v>197</v>
      </c>
    </row>
    <row r="74" spans="24:28" x14ac:dyDescent="0.25">
      <c r="X74" s="1" t="str">
        <f t="shared" si="0"/>
        <v>BELLINI Jacques</v>
      </c>
      <c r="Y74" s="1">
        <v>14895</v>
      </c>
      <c r="Z74" s="1" t="s">
        <v>23</v>
      </c>
      <c r="AA74" s="1">
        <v>0.48</v>
      </c>
      <c r="AB74" s="1" t="s">
        <v>152</v>
      </c>
    </row>
    <row r="75" spans="24:28" x14ac:dyDescent="0.25">
      <c r="X75" s="1" t="str">
        <f t="shared" si="0"/>
        <v>TRITZ Herve</v>
      </c>
      <c r="Y75" s="1">
        <v>162632</v>
      </c>
      <c r="Z75" s="1" t="s">
        <v>62</v>
      </c>
      <c r="AA75" s="1">
        <v>0.48</v>
      </c>
      <c r="AB75" s="1" t="s">
        <v>162</v>
      </c>
    </row>
    <row r="76" spans="24:28" x14ac:dyDescent="0.25">
      <c r="X76" s="1" t="str">
        <f t="shared" si="0"/>
        <v>LADA Alfred</v>
      </c>
      <c r="Y76" s="1">
        <v>14829</v>
      </c>
      <c r="Z76" s="1" t="s">
        <v>347</v>
      </c>
      <c r="AA76" s="1">
        <v>0.48</v>
      </c>
      <c r="AB76" s="1" t="s">
        <v>160</v>
      </c>
    </row>
    <row r="77" spans="24:28" x14ac:dyDescent="0.25">
      <c r="X77" s="1" t="str">
        <f t="shared" ref="X77:X140" si="1">Z77</f>
        <v>POIROT Dominique</v>
      </c>
      <c r="Y77" s="1">
        <v>119612</v>
      </c>
      <c r="Z77" s="1" t="s">
        <v>58</v>
      </c>
      <c r="AA77" s="1">
        <v>0.47</v>
      </c>
      <c r="AB77" s="1" t="s">
        <v>156</v>
      </c>
    </row>
    <row r="78" spans="24:28" x14ac:dyDescent="0.25">
      <c r="X78" s="1" t="str">
        <f t="shared" si="1"/>
        <v>MESA José</v>
      </c>
      <c r="Y78" s="1">
        <v>14811</v>
      </c>
      <c r="Z78" s="1" t="s">
        <v>20</v>
      </c>
      <c r="AA78" s="1">
        <v>0.46</v>
      </c>
      <c r="AB78" s="1" t="s">
        <v>160</v>
      </c>
    </row>
    <row r="79" spans="24:28" x14ac:dyDescent="0.25">
      <c r="X79" s="1" t="str">
        <f t="shared" si="1"/>
        <v>OSWALD Raymond</v>
      </c>
      <c r="Y79" s="1">
        <v>15354</v>
      </c>
      <c r="Z79" s="1" t="s">
        <v>70</v>
      </c>
      <c r="AA79" s="1">
        <v>0.46</v>
      </c>
      <c r="AB79" s="1" t="s">
        <v>162</v>
      </c>
    </row>
    <row r="80" spans="24:28" x14ac:dyDescent="0.25">
      <c r="X80" s="1" t="str">
        <f t="shared" si="1"/>
        <v>COLOMBO Alain</v>
      </c>
      <c r="Y80" s="1">
        <v>135812</v>
      </c>
      <c r="Z80" s="1" t="s">
        <v>342</v>
      </c>
      <c r="AA80" s="1">
        <v>0.37</v>
      </c>
      <c r="AB80" s="1" t="s">
        <v>152</v>
      </c>
    </row>
    <row r="81" spans="24:28" x14ac:dyDescent="0.25">
      <c r="X81" s="1" t="str">
        <f t="shared" si="1"/>
        <v>CHRISTMANN Gaston</v>
      </c>
      <c r="Y81" s="1">
        <v>14757</v>
      </c>
      <c r="Z81" s="1" t="s">
        <v>335</v>
      </c>
      <c r="AA81" s="1">
        <v>0.36</v>
      </c>
      <c r="AB81" s="1" t="s">
        <v>175</v>
      </c>
    </row>
    <row r="82" spans="24:28" x14ac:dyDescent="0.25">
      <c r="X82" s="1" t="str">
        <f t="shared" si="1"/>
        <v>BELLET Alain</v>
      </c>
      <c r="Y82" s="1">
        <v>15151</v>
      </c>
      <c r="Z82" s="1" t="s">
        <v>15</v>
      </c>
      <c r="AA82" s="1">
        <v>0.34</v>
      </c>
      <c r="AB82" s="1" t="s">
        <v>152</v>
      </c>
    </row>
    <row r="83" spans="24:28" x14ac:dyDescent="0.25">
      <c r="X83" s="1" t="str">
        <f t="shared" si="1"/>
        <v>KAISER Guillaume</v>
      </c>
      <c r="Y83" s="1">
        <v>104574</v>
      </c>
      <c r="Z83" s="1" t="s">
        <v>68</v>
      </c>
      <c r="AA83" s="1">
        <v>0.33</v>
      </c>
      <c r="AB83" s="1" t="s">
        <v>197</v>
      </c>
    </row>
    <row r="84" spans="24:28" x14ac:dyDescent="0.25">
      <c r="X84" s="1">
        <f t="shared" si="1"/>
        <v>0</v>
      </c>
      <c r="Y84" s="1" t="s">
        <v>352</v>
      </c>
    </row>
    <row r="85" spans="24:28" x14ac:dyDescent="0.25">
      <c r="X85" s="1" t="str">
        <f t="shared" si="1"/>
        <v>Nom</v>
      </c>
      <c r="Y85" s="1" t="s">
        <v>148</v>
      </c>
      <c r="Z85" s="1" t="s">
        <v>149</v>
      </c>
      <c r="AA85" s="1" t="s">
        <v>150</v>
      </c>
      <c r="AB85" s="1" t="s">
        <v>350</v>
      </c>
    </row>
    <row r="86" spans="24:28" x14ac:dyDescent="0.25">
      <c r="X86" s="1" t="str">
        <f t="shared" si="1"/>
        <v>MARCONI Dominique</v>
      </c>
      <c r="Y86" s="1">
        <v>123009</v>
      </c>
      <c r="Z86" s="1" t="s">
        <v>34</v>
      </c>
      <c r="AA86" s="1">
        <v>0.33</v>
      </c>
      <c r="AB86" s="1" t="s">
        <v>160</v>
      </c>
    </row>
    <row r="87" spans="24:28" x14ac:dyDescent="0.25">
      <c r="X87" s="1" t="str">
        <f t="shared" si="1"/>
        <v>FEDERICI Jean</v>
      </c>
      <c r="Y87" s="1">
        <v>14807</v>
      </c>
      <c r="Z87" s="1" t="s">
        <v>24</v>
      </c>
      <c r="AA87" s="1">
        <v>0.3</v>
      </c>
      <c r="AB87" s="1" t="s">
        <v>154</v>
      </c>
    </row>
    <row r="88" spans="24:28" x14ac:dyDescent="0.25">
      <c r="X88" s="1" t="str">
        <f t="shared" si="1"/>
        <v>GEORGES Marcel</v>
      </c>
      <c r="Y88" s="1">
        <v>14808</v>
      </c>
      <c r="Z88" s="1" t="s">
        <v>41</v>
      </c>
      <c r="AA88" s="1">
        <v>0.26</v>
      </c>
      <c r="AB88" s="1" t="s">
        <v>154</v>
      </c>
    </row>
    <row r="89" spans="24:28" x14ac:dyDescent="0.25">
      <c r="X89" s="1" t="str">
        <f t="shared" si="1"/>
        <v>FERBACH Jean-Jacques</v>
      </c>
      <c r="Y89" s="1">
        <v>15542</v>
      </c>
      <c r="Z89" s="1" t="s">
        <v>49</v>
      </c>
      <c r="AA89" s="1">
        <v>0.26</v>
      </c>
      <c r="AB89" s="1" t="s">
        <v>170</v>
      </c>
    </row>
    <row r="90" spans="24:28" x14ac:dyDescent="0.25">
      <c r="X90" s="1" t="str">
        <f t="shared" si="1"/>
        <v>CAMPOLI Jean louis</v>
      </c>
      <c r="Y90" s="1">
        <v>12715</v>
      </c>
      <c r="Z90" s="1" t="s">
        <v>37</v>
      </c>
      <c r="AA90" s="1" t="s">
        <v>198</v>
      </c>
      <c r="AB90" s="1" t="s">
        <v>156</v>
      </c>
    </row>
    <row r="91" spans="24:28" x14ac:dyDescent="0.25">
      <c r="X91" s="1">
        <f t="shared" si="1"/>
        <v>0</v>
      </c>
      <c r="Y91" s="1" t="s">
        <v>353</v>
      </c>
    </row>
    <row r="92" spans="24:28" x14ac:dyDescent="0.25">
      <c r="X92" s="1" t="str">
        <f t="shared" si="1"/>
        <v>Nom</v>
      </c>
      <c r="Y92" s="1" t="s">
        <v>148</v>
      </c>
      <c r="Z92" s="1" t="s">
        <v>149</v>
      </c>
      <c r="AA92" s="1" t="s">
        <v>150</v>
      </c>
      <c r="AB92" s="1" t="s">
        <v>350</v>
      </c>
    </row>
    <row r="93" spans="24:28" x14ac:dyDescent="0.25">
      <c r="X93" s="1" t="str">
        <f t="shared" si="1"/>
        <v>GEORGES Bertrand</v>
      </c>
      <c r="Y93" s="1">
        <v>15400</v>
      </c>
      <c r="Z93" s="1" t="s">
        <v>22</v>
      </c>
      <c r="AA93" s="1">
        <v>0.22</v>
      </c>
      <c r="AB93" s="1" t="s">
        <v>175</v>
      </c>
    </row>
    <row r="94" spans="24:28" x14ac:dyDescent="0.25">
      <c r="X94" s="1" t="str">
        <f t="shared" si="1"/>
        <v>JALABERT Jean-Paul</v>
      </c>
      <c r="Y94" s="1">
        <v>14748</v>
      </c>
      <c r="Z94" s="1" t="s">
        <v>25</v>
      </c>
      <c r="AA94" s="1">
        <v>0.22</v>
      </c>
      <c r="AB94" s="1" t="s">
        <v>186</v>
      </c>
    </row>
    <row r="95" spans="24:28" x14ac:dyDescent="0.25">
      <c r="X95" s="1" t="str">
        <f t="shared" si="1"/>
        <v>REININGER Robert</v>
      </c>
      <c r="Y95" s="1">
        <v>15010</v>
      </c>
      <c r="Z95" s="1" t="s">
        <v>33</v>
      </c>
      <c r="AA95" s="1">
        <v>0.18</v>
      </c>
      <c r="AB95" s="1" t="s">
        <v>186</v>
      </c>
    </row>
    <row r="96" spans="24:28" x14ac:dyDescent="0.25">
      <c r="X96" s="1" t="str">
        <f t="shared" si="1"/>
        <v>LAVAINE Fabien</v>
      </c>
      <c r="Y96" s="1">
        <v>154587</v>
      </c>
      <c r="Z96" s="1" t="s">
        <v>54</v>
      </c>
      <c r="AA96" s="1" t="s">
        <v>198</v>
      </c>
      <c r="AB96" s="1" t="s">
        <v>156</v>
      </c>
    </row>
    <row r="97" spans="24:28" x14ac:dyDescent="0.25">
      <c r="X97" s="1" t="str">
        <f t="shared" si="1"/>
        <v>STORNAIUOLO Francesco</v>
      </c>
      <c r="Y97" s="1">
        <v>154538</v>
      </c>
      <c r="Z97" s="1" t="s">
        <v>269</v>
      </c>
      <c r="AA97" s="1" t="s">
        <v>198</v>
      </c>
      <c r="AB97" s="1" t="s">
        <v>186</v>
      </c>
    </row>
    <row r="98" spans="24:28" x14ac:dyDescent="0.25">
      <c r="X98" s="1" t="str">
        <f t="shared" si="1"/>
        <v>MENEGUZZI Raimond</v>
      </c>
      <c r="Y98" s="1">
        <v>14755</v>
      </c>
      <c r="Z98" s="1" t="s">
        <v>348</v>
      </c>
      <c r="AA98" s="1" t="s">
        <v>198</v>
      </c>
      <c r="AB98" s="1" t="s">
        <v>186</v>
      </c>
    </row>
    <row r="99" spans="24:28" x14ac:dyDescent="0.25">
      <c r="X99" s="1">
        <f t="shared" si="1"/>
        <v>0</v>
      </c>
      <c r="Y99" s="1" t="s">
        <v>247</v>
      </c>
    </row>
    <row r="100" spans="24:28" x14ac:dyDescent="0.25">
      <c r="X100" s="1">
        <f t="shared" si="1"/>
        <v>0</v>
      </c>
      <c r="Y100" s="1" t="s">
        <v>349</v>
      </c>
    </row>
    <row r="101" spans="24:28" x14ac:dyDescent="0.25">
      <c r="X101" s="1" t="str">
        <f t="shared" si="1"/>
        <v>Nom</v>
      </c>
      <c r="Y101" s="1" t="s">
        <v>148</v>
      </c>
      <c r="Z101" s="1" t="s">
        <v>149</v>
      </c>
      <c r="AA101" s="1" t="s">
        <v>150</v>
      </c>
      <c r="AB101" s="1" t="s">
        <v>350</v>
      </c>
    </row>
    <row r="102" spans="24:28" x14ac:dyDescent="0.25">
      <c r="X102" s="1" t="str">
        <f t="shared" si="1"/>
        <v>PANCALDI Walter</v>
      </c>
      <c r="Y102" s="1">
        <v>136060</v>
      </c>
      <c r="Z102" s="1" t="s">
        <v>52</v>
      </c>
      <c r="AA102" s="1">
        <v>5.84</v>
      </c>
      <c r="AB102" s="1" t="s">
        <v>156</v>
      </c>
    </row>
    <row r="103" spans="24:28" x14ac:dyDescent="0.25">
      <c r="X103" s="1" t="str">
        <f t="shared" si="1"/>
        <v>POLEWCZYK Michel</v>
      </c>
      <c r="Y103" s="1">
        <v>14831</v>
      </c>
      <c r="Z103" s="1" t="s">
        <v>35</v>
      </c>
      <c r="AA103" s="1">
        <v>5.43</v>
      </c>
      <c r="AB103" s="1" t="s">
        <v>156</v>
      </c>
    </row>
    <row r="104" spans="24:28" x14ac:dyDescent="0.25">
      <c r="X104" s="1" t="str">
        <f t="shared" si="1"/>
        <v>BELLINI Jacques</v>
      </c>
      <c r="Y104" s="1">
        <v>14895</v>
      </c>
      <c r="Z104" s="1" t="s">
        <v>23</v>
      </c>
      <c r="AA104" s="1">
        <v>4.92</v>
      </c>
      <c r="AB104" s="1" t="s">
        <v>152</v>
      </c>
    </row>
    <row r="105" spans="24:28" x14ac:dyDescent="0.25">
      <c r="X105" s="1" t="str">
        <f t="shared" si="1"/>
        <v>BELLET Alain</v>
      </c>
      <c r="Y105" s="1">
        <v>15151</v>
      </c>
      <c r="Z105" s="1" t="s">
        <v>15</v>
      </c>
      <c r="AA105" s="1">
        <v>4.5</v>
      </c>
      <c r="AB105" s="1" t="s">
        <v>152</v>
      </c>
    </row>
    <row r="106" spans="24:28" x14ac:dyDescent="0.25">
      <c r="X106" s="1" t="str">
        <f t="shared" si="1"/>
        <v>CHRISTMANN Gaston</v>
      </c>
      <c r="Y106" s="1">
        <v>14757</v>
      </c>
      <c r="Z106" s="1" t="s">
        <v>335</v>
      </c>
      <c r="AA106" s="1">
        <v>4.42</v>
      </c>
      <c r="AB106" s="1" t="s">
        <v>175</v>
      </c>
    </row>
    <row r="107" spans="24:28" x14ac:dyDescent="0.25">
      <c r="X107" s="1" t="str">
        <f t="shared" si="1"/>
        <v>MESA José</v>
      </c>
      <c r="Y107" s="1">
        <v>14811</v>
      </c>
      <c r="Z107" s="1" t="s">
        <v>20</v>
      </c>
      <c r="AA107" s="1">
        <v>4.0599999999999996</v>
      </c>
      <c r="AB107" s="1" t="s">
        <v>160</v>
      </c>
    </row>
    <row r="108" spans="24:28" x14ac:dyDescent="0.25">
      <c r="X108" s="1" t="str">
        <f t="shared" si="1"/>
        <v>GOUVERNEL Pierre</v>
      </c>
      <c r="Y108" s="1">
        <v>107147</v>
      </c>
      <c r="Z108" s="1" t="s">
        <v>21</v>
      </c>
      <c r="AA108" s="1">
        <v>3.96</v>
      </c>
      <c r="AB108" s="1" t="s">
        <v>164</v>
      </c>
    </row>
    <row r="109" spans="24:28" x14ac:dyDescent="0.25">
      <c r="X109" s="1" t="str">
        <f t="shared" si="1"/>
        <v>BONNEFOY Joel</v>
      </c>
      <c r="Y109" s="1">
        <v>156198</v>
      </c>
      <c r="Z109" s="1" t="s">
        <v>16</v>
      </c>
      <c r="AA109" s="1">
        <v>3.93</v>
      </c>
      <c r="AB109" s="1" t="s">
        <v>162</v>
      </c>
    </row>
    <row r="110" spans="24:28" x14ac:dyDescent="0.25">
      <c r="X110" s="1" t="str">
        <f t="shared" si="1"/>
        <v>LECLERC Philippe</v>
      </c>
      <c r="Y110" s="1">
        <v>119610</v>
      </c>
      <c r="Z110" s="1" t="s">
        <v>36</v>
      </c>
      <c r="AA110" s="1">
        <v>3.61</v>
      </c>
      <c r="AB110" s="1" t="s">
        <v>164</v>
      </c>
    </row>
    <row r="111" spans="24:28" x14ac:dyDescent="0.25">
      <c r="X111" s="1" t="str">
        <f t="shared" si="1"/>
        <v>MARCONI Dominique</v>
      </c>
      <c r="Y111" s="1">
        <v>123009</v>
      </c>
      <c r="Z111" s="1" t="s">
        <v>34</v>
      </c>
      <c r="AA111" s="1">
        <v>3.36</v>
      </c>
      <c r="AB111" s="1" t="s">
        <v>160</v>
      </c>
    </row>
    <row r="112" spans="24:28" x14ac:dyDescent="0.25">
      <c r="X112" s="1" t="str">
        <f t="shared" si="1"/>
        <v>RUZZON Bruno</v>
      </c>
      <c r="Y112" s="1">
        <v>120525</v>
      </c>
      <c r="Z112" s="1" t="s">
        <v>47</v>
      </c>
      <c r="AA112" s="1">
        <v>3.18</v>
      </c>
      <c r="AB112" s="1" t="s">
        <v>175</v>
      </c>
    </row>
    <row r="113" spans="24:28" x14ac:dyDescent="0.25">
      <c r="X113" s="1" t="str">
        <f t="shared" si="1"/>
        <v>LEGRAND Robert</v>
      </c>
      <c r="Y113" s="1">
        <v>15019</v>
      </c>
      <c r="Z113" s="1" t="s">
        <v>40</v>
      </c>
      <c r="AA113" s="1">
        <v>3.09</v>
      </c>
      <c r="AB113" s="1" t="s">
        <v>164</v>
      </c>
    </row>
    <row r="114" spans="24:28" x14ac:dyDescent="0.25">
      <c r="X114" s="1">
        <f t="shared" si="1"/>
        <v>0</v>
      </c>
      <c r="Y114" s="1" t="s">
        <v>352</v>
      </c>
    </row>
    <row r="115" spans="24:28" x14ac:dyDescent="0.25">
      <c r="X115" s="1" t="str">
        <f t="shared" si="1"/>
        <v>Nom</v>
      </c>
      <c r="Y115" s="1" t="s">
        <v>148</v>
      </c>
      <c r="Z115" s="1" t="s">
        <v>149</v>
      </c>
      <c r="AA115" s="1" t="s">
        <v>150</v>
      </c>
      <c r="AB115" s="1" t="s">
        <v>350</v>
      </c>
    </row>
    <row r="116" spans="24:28" x14ac:dyDescent="0.25">
      <c r="X116" s="1" t="str">
        <f t="shared" si="1"/>
        <v>RAVAGLI François</v>
      </c>
      <c r="Y116" s="1">
        <v>112364</v>
      </c>
      <c r="Z116" s="1" t="s">
        <v>48</v>
      </c>
      <c r="AA116" s="1">
        <v>3.23</v>
      </c>
      <c r="AB116" s="1" t="s">
        <v>175</v>
      </c>
    </row>
    <row r="117" spans="24:28" x14ac:dyDescent="0.25">
      <c r="X117" s="1" t="str">
        <f t="shared" si="1"/>
        <v>MEDDAHI Mohamed</v>
      </c>
      <c r="Y117" s="1">
        <v>140763</v>
      </c>
      <c r="Z117" s="1" t="s">
        <v>336</v>
      </c>
      <c r="AA117" s="1">
        <v>3.19</v>
      </c>
      <c r="AB117" s="1" t="s">
        <v>160</v>
      </c>
    </row>
    <row r="118" spans="24:28" x14ac:dyDescent="0.25">
      <c r="X118" s="1" t="str">
        <f t="shared" si="1"/>
        <v>MALVAREZ Jean</v>
      </c>
      <c r="Y118" s="1">
        <v>102806</v>
      </c>
      <c r="Z118" s="1" t="s">
        <v>51</v>
      </c>
      <c r="AA118" s="1">
        <v>3.12</v>
      </c>
      <c r="AB118" s="1" t="s">
        <v>175</v>
      </c>
    </row>
    <row r="119" spans="24:28" x14ac:dyDescent="0.25">
      <c r="X119" s="1" t="str">
        <f t="shared" si="1"/>
        <v>BORRACCINO Michel</v>
      </c>
      <c r="Y119" s="1">
        <v>14821</v>
      </c>
      <c r="Z119" s="1" t="s">
        <v>17</v>
      </c>
      <c r="AA119" s="1">
        <v>3.03</v>
      </c>
      <c r="AB119" s="1" t="s">
        <v>154</v>
      </c>
    </row>
    <row r="120" spans="24:28" x14ac:dyDescent="0.25">
      <c r="X120" s="1" t="str">
        <f t="shared" si="1"/>
        <v>DAL CORTIVO Paul</v>
      </c>
      <c r="Y120" s="1">
        <v>12884</v>
      </c>
      <c r="Z120" s="1" t="s">
        <v>38</v>
      </c>
      <c r="AA120" s="1">
        <v>2.71</v>
      </c>
      <c r="AB120" s="1" t="s">
        <v>164</v>
      </c>
    </row>
    <row r="121" spans="24:28" x14ac:dyDescent="0.25">
      <c r="X121" s="1" t="str">
        <f t="shared" si="1"/>
        <v>DALLA TORRE Gérard</v>
      </c>
      <c r="Y121" s="1">
        <v>14817</v>
      </c>
      <c r="Z121" s="1" t="s">
        <v>43</v>
      </c>
      <c r="AA121" s="1">
        <v>2.44</v>
      </c>
      <c r="AB121" s="1" t="s">
        <v>164</v>
      </c>
    </row>
    <row r="122" spans="24:28" x14ac:dyDescent="0.25">
      <c r="X122" s="1" t="str">
        <f t="shared" si="1"/>
        <v>GEORGES Marcel</v>
      </c>
      <c r="Y122" s="1">
        <v>14808</v>
      </c>
      <c r="Z122" s="1" t="s">
        <v>41</v>
      </c>
      <c r="AA122" s="1">
        <v>2.31</v>
      </c>
      <c r="AB122" s="1" t="s">
        <v>154</v>
      </c>
    </row>
    <row r="123" spans="24:28" x14ac:dyDescent="0.25">
      <c r="X123" s="1" t="str">
        <f t="shared" si="1"/>
        <v>CLAUSS Frédéric</v>
      </c>
      <c r="Y123" s="1">
        <v>150579</v>
      </c>
      <c r="Z123" s="1" t="s">
        <v>29</v>
      </c>
      <c r="AA123" s="1">
        <v>2.06</v>
      </c>
      <c r="AB123" s="1" t="s">
        <v>156</v>
      </c>
    </row>
    <row r="124" spans="24:28" x14ac:dyDescent="0.25">
      <c r="X124" s="1" t="str">
        <f t="shared" si="1"/>
        <v>POIROT Dominique</v>
      </c>
      <c r="Y124" s="1">
        <v>119612</v>
      </c>
      <c r="Z124" s="1" t="s">
        <v>58</v>
      </c>
      <c r="AA124" s="1">
        <v>1.93</v>
      </c>
      <c r="AB124" s="1" t="s">
        <v>156</v>
      </c>
    </row>
    <row r="125" spans="24:28" x14ac:dyDescent="0.25">
      <c r="X125" s="1" t="str">
        <f t="shared" si="1"/>
        <v>BOURY Bernard</v>
      </c>
      <c r="Y125" s="1">
        <v>119615</v>
      </c>
      <c r="Z125" s="1" t="s">
        <v>65</v>
      </c>
      <c r="AA125" s="1">
        <v>1.57</v>
      </c>
      <c r="AB125" s="1" t="s">
        <v>154</v>
      </c>
    </row>
    <row r="126" spans="24:28" x14ac:dyDescent="0.25">
      <c r="X126" s="1" t="str">
        <f t="shared" si="1"/>
        <v>NGUYEN Van Luan</v>
      </c>
      <c r="Y126" s="1">
        <v>123030</v>
      </c>
      <c r="Z126" s="1" t="s">
        <v>63</v>
      </c>
      <c r="AA126" s="1" t="s">
        <v>198</v>
      </c>
      <c r="AB126" s="1" t="s">
        <v>170</v>
      </c>
    </row>
    <row r="127" spans="24:28" x14ac:dyDescent="0.25">
      <c r="X127" s="1">
        <f t="shared" si="1"/>
        <v>0</v>
      </c>
      <c r="Y127" s="1" t="s">
        <v>268</v>
      </c>
    </row>
    <row r="128" spans="24:28" x14ac:dyDescent="0.25">
      <c r="X128" s="1">
        <f t="shared" si="1"/>
        <v>0</v>
      </c>
      <c r="Y128" s="1" t="s">
        <v>356</v>
      </c>
    </row>
    <row r="129" spans="24:28" x14ac:dyDescent="0.25">
      <c r="X129" s="1" t="str">
        <f t="shared" si="1"/>
        <v>Nom</v>
      </c>
      <c r="Y129" s="1" t="s">
        <v>148</v>
      </c>
      <c r="Z129" s="1" t="s">
        <v>149</v>
      </c>
      <c r="AA129" s="1" t="s">
        <v>150</v>
      </c>
      <c r="AB129" s="1" t="s">
        <v>350</v>
      </c>
    </row>
    <row r="130" spans="24:28" x14ac:dyDescent="0.25">
      <c r="X130" s="1" t="str">
        <f t="shared" si="1"/>
        <v>BEDNAREK Jean-Michel</v>
      </c>
      <c r="Y130" s="1">
        <v>145072</v>
      </c>
      <c r="Z130" s="1" t="s">
        <v>272</v>
      </c>
      <c r="AA130" s="1">
        <v>1.7</v>
      </c>
      <c r="AB130" s="1" t="s">
        <v>164</v>
      </c>
    </row>
    <row r="131" spans="24:28" x14ac:dyDescent="0.25">
      <c r="X131" s="1" t="str">
        <f t="shared" si="1"/>
        <v>STORNAIUOLO Francesco</v>
      </c>
      <c r="Y131" s="1">
        <v>154538</v>
      </c>
      <c r="Z131" s="1" t="s">
        <v>269</v>
      </c>
      <c r="AA131" s="1">
        <v>1.29</v>
      </c>
      <c r="AB131" s="1" t="s">
        <v>186</v>
      </c>
    </row>
    <row r="132" spans="24:28" x14ac:dyDescent="0.25">
      <c r="X132" s="1" t="str">
        <f t="shared" si="1"/>
        <v>DI LEO François</v>
      </c>
      <c r="Y132" s="1">
        <v>102783</v>
      </c>
      <c r="Z132" s="1" t="s">
        <v>73</v>
      </c>
      <c r="AA132" s="1">
        <v>1.05</v>
      </c>
      <c r="AB132" s="1" t="s">
        <v>186</v>
      </c>
    </row>
    <row r="133" spans="24:28" x14ac:dyDescent="0.25">
      <c r="X133" s="1" t="str">
        <f t="shared" si="1"/>
        <v>POIROT Dominique</v>
      </c>
      <c r="Y133" s="1">
        <v>119612</v>
      </c>
      <c r="Z133" s="1" t="s">
        <v>58</v>
      </c>
      <c r="AA133" s="1">
        <v>0.99</v>
      </c>
      <c r="AB133" s="1" t="s">
        <v>156</v>
      </c>
    </row>
    <row r="134" spans="24:28" x14ac:dyDescent="0.25">
      <c r="X134" s="1">
        <f t="shared" si="1"/>
        <v>0</v>
      </c>
      <c r="Y134" s="1" t="s">
        <v>352</v>
      </c>
    </row>
    <row r="135" spans="24:28" x14ac:dyDescent="0.25">
      <c r="X135" s="1" t="str">
        <f t="shared" si="1"/>
        <v>Nom</v>
      </c>
      <c r="Y135" s="1" t="s">
        <v>148</v>
      </c>
      <c r="Z135" s="1" t="s">
        <v>149</v>
      </c>
      <c r="AA135" s="1" t="s">
        <v>150</v>
      </c>
      <c r="AB135" s="1" t="s">
        <v>350</v>
      </c>
    </row>
    <row r="136" spans="24:28" x14ac:dyDescent="0.25">
      <c r="X136" s="1" t="str">
        <f t="shared" si="1"/>
        <v>JALABERT Jean-Paul</v>
      </c>
      <c r="Y136" s="1">
        <v>14748</v>
      </c>
      <c r="Z136" s="1" t="s">
        <v>25</v>
      </c>
      <c r="AA136" s="1">
        <v>0.78</v>
      </c>
      <c r="AB136" s="1" t="s">
        <v>186</v>
      </c>
    </row>
    <row r="137" spans="24:28" x14ac:dyDescent="0.25">
      <c r="X137" s="1" t="str">
        <f t="shared" si="1"/>
        <v>CORNEO François</v>
      </c>
      <c r="Y137" s="1">
        <v>140782</v>
      </c>
      <c r="Z137" s="1" t="s">
        <v>270</v>
      </c>
      <c r="AA137" s="1">
        <v>0.78</v>
      </c>
      <c r="AB137" s="1" t="s">
        <v>186</v>
      </c>
    </row>
    <row r="138" spans="24:28" x14ac:dyDescent="0.25">
      <c r="X138" s="1" t="str">
        <f t="shared" si="1"/>
        <v>LAVAINE Fabien</v>
      </c>
      <c r="Y138" s="1">
        <v>154587</v>
      </c>
      <c r="Z138" s="1" t="s">
        <v>54</v>
      </c>
      <c r="AA138" s="1" t="s">
        <v>198</v>
      </c>
      <c r="AB138" s="1" t="s">
        <v>156</v>
      </c>
    </row>
    <row r="139" spans="24:28" x14ac:dyDescent="0.25">
      <c r="X139" s="1" t="str">
        <f t="shared" si="1"/>
        <v>PILOTTO Leo</v>
      </c>
      <c r="Y139" s="1">
        <v>15004</v>
      </c>
      <c r="Z139" s="1" t="s">
        <v>357</v>
      </c>
      <c r="AA139" s="1" t="s">
        <v>198</v>
      </c>
      <c r="AB139" s="1" t="s">
        <v>186</v>
      </c>
    </row>
    <row r="140" spans="24:28" x14ac:dyDescent="0.25">
      <c r="X140" s="1" t="str">
        <f t="shared" si="1"/>
        <v>MENEGUZZI Raimond</v>
      </c>
      <c r="Y140" s="1">
        <v>14755</v>
      </c>
      <c r="Z140" s="1" t="s">
        <v>348</v>
      </c>
      <c r="AA140" s="1" t="s">
        <v>198</v>
      </c>
      <c r="AB140" s="1" t="s">
        <v>186</v>
      </c>
    </row>
    <row r="141" spans="24:28" x14ac:dyDescent="0.25">
      <c r="X141" s="1">
        <f t="shared" ref="X141:X188" si="2">Z141</f>
        <v>0</v>
      </c>
      <c r="Y141" s="1" t="s">
        <v>208</v>
      </c>
    </row>
    <row r="142" spans="24:28" x14ac:dyDescent="0.25">
      <c r="X142" s="1">
        <f t="shared" si="2"/>
        <v>0</v>
      </c>
      <c r="Y142" s="1" t="s">
        <v>349</v>
      </c>
    </row>
    <row r="143" spans="24:28" x14ac:dyDescent="0.25">
      <c r="X143" s="1" t="str">
        <f t="shared" si="2"/>
        <v>Nom</v>
      </c>
      <c r="Y143" s="1" t="s">
        <v>148</v>
      </c>
      <c r="Z143" s="1" t="s">
        <v>149</v>
      </c>
      <c r="AA143" s="1" t="s">
        <v>150</v>
      </c>
      <c r="AB143" s="1" t="s">
        <v>350</v>
      </c>
    </row>
    <row r="144" spans="24:28" x14ac:dyDescent="0.25">
      <c r="X144" s="1" t="str">
        <f t="shared" si="2"/>
        <v>PANCALDI Walter</v>
      </c>
      <c r="Y144" s="1">
        <v>136060</v>
      </c>
      <c r="Z144" s="1" t="s">
        <v>52</v>
      </c>
      <c r="AA144" s="1">
        <v>2.34</v>
      </c>
      <c r="AB144" s="1" t="s">
        <v>156</v>
      </c>
    </row>
    <row r="145" spans="24:28" x14ac:dyDescent="0.25">
      <c r="X145" s="1" t="str">
        <f t="shared" si="2"/>
        <v>SPAGNOLO Luigi</v>
      </c>
      <c r="Y145" s="1">
        <v>137290</v>
      </c>
      <c r="Z145" s="1" t="s">
        <v>46</v>
      </c>
      <c r="AA145" s="1">
        <v>2.17</v>
      </c>
      <c r="AB145" s="1" t="s">
        <v>156</v>
      </c>
    </row>
    <row r="146" spans="24:28" x14ac:dyDescent="0.25">
      <c r="X146" s="1" t="str">
        <f t="shared" si="2"/>
        <v>BELLINI Jacques</v>
      </c>
      <c r="Y146" s="1">
        <v>14895</v>
      </c>
      <c r="Z146" s="1" t="s">
        <v>23</v>
      </c>
      <c r="AA146" s="1">
        <v>2.13</v>
      </c>
      <c r="AB146" s="1" t="s">
        <v>152</v>
      </c>
    </row>
    <row r="147" spans="24:28" x14ac:dyDescent="0.25">
      <c r="X147" s="1" t="str">
        <f t="shared" si="2"/>
        <v>LECLERC Philippe</v>
      </c>
      <c r="Y147" s="1">
        <v>119610</v>
      </c>
      <c r="Z147" s="1" t="s">
        <v>36</v>
      </c>
      <c r="AA147" s="1">
        <v>2.06</v>
      </c>
      <c r="AB147" s="1" t="s">
        <v>164</v>
      </c>
    </row>
    <row r="148" spans="24:28" x14ac:dyDescent="0.25">
      <c r="X148" s="1" t="str">
        <f t="shared" si="2"/>
        <v>GOUVERNEL Pierre</v>
      </c>
      <c r="Y148" s="1">
        <v>107147</v>
      </c>
      <c r="Z148" s="1" t="s">
        <v>21</v>
      </c>
      <c r="AA148" s="1">
        <v>1.81</v>
      </c>
      <c r="AB148" s="1" t="s">
        <v>164</v>
      </c>
    </row>
    <row r="149" spans="24:28" x14ac:dyDescent="0.25">
      <c r="X149" s="1" t="str">
        <f t="shared" si="2"/>
        <v>MESA José</v>
      </c>
      <c r="Y149" s="1">
        <v>14811</v>
      </c>
      <c r="Z149" s="1" t="s">
        <v>20</v>
      </c>
      <c r="AA149" s="1">
        <v>1.8</v>
      </c>
      <c r="AB149" s="1" t="s">
        <v>160</v>
      </c>
    </row>
    <row r="150" spans="24:28" x14ac:dyDescent="0.25">
      <c r="X150" s="1" t="str">
        <f t="shared" si="2"/>
        <v>BELLET Alain</v>
      </c>
      <c r="Y150" s="1">
        <v>15151</v>
      </c>
      <c r="Z150" s="1" t="s">
        <v>15</v>
      </c>
      <c r="AA150" s="1">
        <v>1.42</v>
      </c>
      <c r="AB150" s="1" t="s">
        <v>152</v>
      </c>
    </row>
    <row r="151" spans="24:28" x14ac:dyDescent="0.25">
      <c r="X151" s="1" t="str">
        <f t="shared" si="2"/>
        <v>BONNEFOY Joel</v>
      </c>
      <c r="Y151" s="1">
        <v>156198</v>
      </c>
      <c r="Z151" s="1" t="s">
        <v>16</v>
      </c>
      <c r="AA151" s="1" t="s">
        <v>198</v>
      </c>
      <c r="AB151" s="1" t="s">
        <v>162</v>
      </c>
    </row>
    <row r="152" spans="24:28" x14ac:dyDescent="0.25">
      <c r="X152" s="1">
        <f t="shared" si="2"/>
        <v>0</v>
      </c>
      <c r="Y152" s="1" t="s">
        <v>352</v>
      </c>
    </row>
    <row r="153" spans="24:28" x14ac:dyDescent="0.25">
      <c r="X153" s="1" t="str">
        <f t="shared" si="2"/>
        <v>Nom</v>
      </c>
      <c r="Y153" s="1" t="s">
        <v>148</v>
      </c>
      <c r="Z153" s="1" t="s">
        <v>149</v>
      </c>
      <c r="AA153" s="1" t="s">
        <v>150</v>
      </c>
      <c r="AB153" s="1" t="s">
        <v>350</v>
      </c>
    </row>
    <row r="154" spans="24:28" x14ac:dyDescent="0.25">
      <c r="X154" s="1" t="str">
        <f t="shared" si="2"/>
        <v>VADALA Gino</v>
      </c>
      <c r="Y154" s="1">
        <v>14789</v>
      </c>
      <c r="Z154" s="1" t="s">
        <v>341</v>
      </c>
      <c r="AA154" s="1">
        <v>1.72</v>
      </c>
      <c r="AB154" s="1" t="s">
        <v>197</v>
      </c>
    </row>
    <row r="155" spans="24:28" x14ac:dyDescent="0.25">
      <c r="X155" s="1" t="str">
        <f t="shared" si="2"/>
        <v>POIROT Dominique</v>
      </c>
      <c r="Y155" s="1">
        <v>119612</v>
      </c>
      <c r="Z155" s="1" t="s">
        <v>58</v>
      </c>
      <c r="AA155" s="1">
        <v>1.68</v>
      </c>
      <c r="AB155" s="1" t="s">
        <v>156</v>
      </c>
    </row>
    <row r="156" spans="24:28" x14ac:dyDescent="0.25">
      <c r="X156" s="1" t="str">
        <f t="shared" si="2"/>
        <v>ODVA Christian</v>
      </c>
      <c r="Y156" s="1">
        <v>15063</v>
      </c>
      <c r="Z156" s="1" t="s">
        <v>61</v>
      </c>
      <c r="AA156" s="1">
        <v>1.38</v>
      </c>
      <c r="AB156" s="1" t="s">
        <v>160</v>
      </c>
    </row>
    <row r="157" spans="24:28" x14ac:dyDescent="0.25">
      <c r="X157" s="1" t="str">
        <f t="shared" si="2"/>
        <v>LEGRAND Robert</v>
      </c>
      <c r="Y157" s="1">
        <v>15019</v>
      </c>
      <c r="Z157" s="1" t="s">
        <v>40</v>
      </c>
      <c r="AA157" s="1">
        <v>1.37</v>
      </c>
      <c r="AB157" s="1" t="s">
        <v>164</v>
      </c>
    </row>
    <row r="158" spans="24:28" x14ac:dyDescent="0.25">
      <c r="X158" s="1" t="str">
        <f t="shared" si="2"/>
        <v>RUZZON Bruno</v>
      </c>
      <c r="Y158" s="1">
        <v>120525</v>
      </c>
      <c r="Z158" s="1" t="s">
        <v>47</v>
      </c>
      <c r="AA158" s="1">
        <v>1.36</v>
      </c>
      <c r="AB158" s="1" t="s">
        <v>175</v>
      </c>
    </row>
    <row r="159" spans="24:28" x14ac:dyDescent="0.25">
      <c r="X159" s="1" t="str">
        <f t="shared" si="2"/>
        <v>MARCONI Dominique</v>
      </c>
      <c r="Y159" s="1">
        <v>123009</v>
      </c>
      <c r="Z159" s="1" t="s">
        <v>34</v>
      </c>
      <c r="AA159" s="1">
        <v>1.3</v>
      </c>
      <c r="AB159" s="1" t="s">
        <v>160</v>
      </c>
    </row>
    <row r="160" spans="24:28" x14ac:dyDescent="0.25">
      <c r="X160" s="1" t="str">
        <f t="shared" si="2"/>
        <v>MALVAREZ Jean</v>
      </c>
      <c r="Y160" s="1">
        <v>102806</v>
      </c>
      <c r="Z160" s="1" t="s">
        <v>51</v>
      </c>
      <c r="AA160" s="1">
        <v>1.24</v>
      </c>
      <c r="AB160" s="1" t="s">
        <v>175</v>
      </c>
    </row>
    <row r="161" spans="24:28" x14ac:dyDescent="0.25">
      <c r="X161" s="1" t="str">
        <f t="shared" si="2"/>
        <v>MEDDAHI Mohamed</v>
      </c>
      <c r="Y161" s="1">
        <v>140763</v>
      </c>
      <c r="Z161" s="1" t="s">
        <v>336</v>
      </c>
      <c r="AA161" s="1">
        <v>1.1599999999999999</v>
      </c>
      <c r="AB161" s="1" t="s">
        <v>160</v>
      </c>
    </row>
    <row r="162" spans="24:28" x14ac:dyDescent="0.25">
      <c r="X162" s="1" t="str">
        <f t="shared" si="2"/>
        <v>DAL CORTIVO Paul</v>
      </c>
      <c r="Y162" s="1">
        <v>12884</v>
      </c>
      <c r="Z162" s="1" t="s">
        <v>38</v>
      </c>
      <c r="AA162" s="1">
        <v>1.1200000000000001</v>
      </c>
      <c r="AB162" s="1" t="s">
        <v>164</v>
      </c>
    </row>
    <row r="163" spans="24:28" x14ac:dyDescent="0.25">
      <c r="X163" s="1" t="str">
        <f t="shared" si="2"/>
        <v>SCALISI Alfio</v>
      </c>
      <c r="Y163" s="1">
        <v>15023</v>
      </c>
      <c r="Z163" s="1" t="s">
        <v>343</v>
      </c>
      <c r="AA163" s="1">
        <v>1.02</v>
      </c>
      <c r="AB163" s="1" t="s">
        <v>160</v>
      </c>
    </row>
    <row r="164" spans="24:28" x14ac:dyDescent="0.25">
      <c r="X164" s="1" t="str">
        <f t="shared" si="2"/>
        <v>DALLA TORRE Gérard</v>
      </c>
      <c r="Y164" s="1">
        <v>14817</v>
      </c>
      <c r="Z164" s="1" t="s">
        <v>43</v>
      </c>
      <c r="AA164" s="1">
        <v>1.01</v>
      </c>
      <c r="AB164" s="1" t="s">
        <v>164</v>
      </c>
    </row>
    <row r="165" spans="24:28" x14ac:dyDescent="0.25">
      <c r="X165" s="1" t="str">
        <f t="shared" si="2"/>
        <v>CLAUSS Frédéric</v>
      </c>
      <c r="Y165" s="1">
        <v>150579</v>
      </c>
      <c r="Z165" s="1" t="s">
        <v>29</v>
      </c>
      <c r="AA165" s="1" t="s">
        <v>198</v>
      </c>
      <c r="AB165" s="1" t="s">
        <v>156</v>
      </c>
    </row>
    <row r="166" spans="24:28" x14ac:dyDescent="0.25">
      <c r="X166" s="1" t="str">
        <f t="shared" si="2"/>
        <v>DENIS Serge</v>
      </c>
      <c r="Y166" s="1">
        <v>15305</v>
      </c>
      <c r="Z166" s="1" t="s">
        <v>345</v>
      </c>
      <c r="AA166" s="1" t="s">
        <v>198</v>
      </c>
      <c r="AB166" s="1" t="s">
        <v>160</v>
      </c>
    </row>
    <row r="167" spans="24:28" x14ac:dyDescent="0.25">
      <c r="X167" s="1" t="str">
        <f t="shared" si="2"/>
        <v>REIS Fernand</v>
      </c>
      <c r="Y167" s="1">
        <v>152951</v>
      </c>
      <c r="Z167" s="1" t="s">
        <v>358</v>
      </c>
      <c r="AA167" s="1" t="s">
        <v>198</v>
      </c>
      <c r="AB167" s="1" t="s">
        <v>160</v>
      </c>
    </row>
    <row r="168" spans="24:28" x14ac:dyDescent="0.25">
      <c r="X168" s="1" t="str">
        <f t="shared" si="2"/>
        <v>PARISOT Dominique</v>
      </c>
      <c r="Y168" s="1">
        <v>162922</v>
      </c>
      <c r="Z168" s="1" t="s">
        <v>59</v>
      </c>
      <c r="AA168" s="1" t="s">
        <v>198</v>
      </c>
      <c r="AB168" s="1" t="s">
        <v>170</v>
      </c>
    </row>
    <row r="169" spans="24:28" x14ac:dyDescent="0.25">
      <c r="X169" s="1">
        <f t="shared" si="2"/>
        <v>0</v>
      </c>
      <c r="Y169" s="1" t="s">
        <v>353</v>
      </c>
    </row>
    <row r="170" spans="24:28" x14ac:dyDescent="0.25">
      <c r="X170" s="1" t="str">
        <f t="shared" si="2"/>
        <v>Nom</v>
      </c>
      <c r="Y170" s="1" t="s">
        <v>148</v>
      </c>
      <c r="Z170" s="1" t="s">
        <v>149</v>
      </c>
      <c r="AA170" s="1" t="s">
        <v>150</v>
      </c>
      <c r="AB170" s="1" t="s">
        <v>350</v>
      </c>
    </row>
    <row r="171" spans="24:28" x14ac:dyDescent="0.25">
      <c r="X171" s="1" t="str">
        <f t="shared" si="2"/>
        <v>DE VREESE Pierre</v>
      </c>
      <c r="Y171" s="1">
        <v>15407</v>
      </c>
      <c r="Z171" s="1" t="s">
        <v>39</v>
      </c>
      <c r="AA171" s="1">
        <v>0.98</v>
      </c>
      <c r="AB171" s="1" t="s">
        <v>182</v>
      </c>
    </row>
    <row r="172" spans="24:28" x14ac:dyDescent="0.25">
      <c r="X172" s="1" t="str">
        <f t="shared" si="2"/>
        <v>REININGER Robert</v>
      </c>
      <c r="Y172" s="1">
        <v>15010</v>
      </c>
      <c r="Z172" s="1" t="s">
        <v>33</v>
      </c>
      <c r="AA172" s="1">
        <v>0.56000000000000005</v>
      </c>
      <c r="AB172" s="1" t="s">
        <v>186</v>
      </c>
    </row>
    <row r="173" spans="24:28" x14ac:dyDescent="0.25">
      <c r="X173" s="1" t="str">
        <f t="shared" si="2"/>
        <v>GEORGES Bertrand</v>
      </c>
      <c r="Y173" s="1">
        <v>15400</v>
      </c>
      <c r="Z173" s="1" t="s">
        <v>22</v>
      </c>
      <c r="AA173" s="1">
        <v>0.55000000000000004</v>
      </c>
      <c r="AB173" s="1" t="s">
        <v>175</v>
      </c>
    </row>
    <row r="174" spans="24:28" x14ac:dyDescent="0.25">
      <c r="X174" s="1" t="str">
        <f t="shared" si="2"/>
        <v>KLEINHENTZ Hubert</v>
      </c>
      <c r="Y174" s="1">
        <v>15291</v>
      </c>
      <c r="Z174" s="1" t="s">
        <v>53</v>
      </c>
      <c r="AA174" s="1" t="s">
        <v>198</v>
      </c>
      <c r="AB174" s="1" t="s">
        <v>197</v>
      </c>
    </row>
    <row r="175" spans="24:28" x14ac:dyDescent="0.25">
      <c r="X175" s="1">
        <f t="shared" si="2"/>
        <v>0</v>
      </c>
      <c r="Y175" s="1" t="s">
        <v>271</v>
      </c>
    </row>
    <row r="176" spans="24:28" x14ac:dyDescent="0.25">
      <c r="X176" s="1">
        <f t="shared" si="2"/>
        <v>0</v>
      </c>
      <c r="Y176" s="1" t="s">
        <v>356</v>
      </c>
    </row>
    <row r="177" spans="24:28" x14ac:dyDescent="0.25">
      <c r="X177" s="1" t="str">
        <f t="shared" si="2"/>
        <v>Nom</v>
      </c>
      <c r="Y177" s="1" t="s">
        <v>148</v>
      </c>
      <c r="Z177" s="1" t="s">
        <v>149</v>
      </c>
      <c r="AA177" s="1" t="s">
        <v>150</v>
      </c>
      <c r="AB177" s="1" t="s">
        <v>350</v>
      </c>
    </row>
    <row r="178" spans="24:28" x14ac:dyDescent="0.25">
      <c r="X178" s="1" t="str">
        <f t="shared" si="2"/>
        <v>BEDNAREK Jean-Michel</v>
      </c>
      <c r="Y178" s="1">
        <v>145072</v>
      </c>
      <c r="Z178" s="1" t="s">
        <v>272</v>
      </c>
      <c r="AA178" s="1">
        <v>1.7</v>
      </c>
      <c r="AB178" s="1" t="s">
        <v>164</v>
      </c>
    </row>
    <row r="179" spans="24:28" x14ac:dyDescent="0.25">
      <c r="X179" s="1" t="str">
        <f t="shared" si="2"/>
        <v>STORNAIUOLO Francesco</v>
      </c>
      <c r="Y179" s="1">
        <v>154538</v>
      </c>
      <c r="Z179" s="1" t="s">
        <v>269</v>
      </c>
      <c r="AA179" s="1">
        <v>1.29</v>
      </c>
      <c r="AB179" s="1" t="s">
        <v>186</v>
      </c>
    </row>
    <row r="180" spans="24:28" x14ac:dyDescent="0.25">
      <c r="X180" s="1" t="str">
        <f t="shared" si="2"/>
        <v>DI LEO François</v>
      </c>
      <c r="Y180" s="1">
        <v>102783</v>
      </c>
      <c r="Z180" s="1" t="s">
        <v>73</v>
      </c>
      <c r="AA180" s="1">
        <v>1.05</v>
      </c>
      <c r="AB180" s="1" t="s">
        <v>186</v>
      </c>
    </row>
    <row r="181" spans="24:28" x14ac:dyDescent="0.25">
      <c r="X181" s="1" t="str">
        <f t="shared" si="2"/>
        <v>POIROT Dominique</v>
      </c>
      <c r="Y181" s="1">
        <v>119612</v>
      </c>
      <c r="Z181" s="1" t="s">
        <v>58</v>
      </c>
      <c r="AA181" s="1">
        <v>0.99</v>
      </c>
      <c r="AB181" s="1" t="s">
        <v>156</v>
      </c>
    </row>
    <row r="182" spans="24:28" x14ac:dyDescent="0.25">
      <c r="X182" s="1">
        <f t="shared" si="2"/>
        <v>0</v>
      </c>
      <c r="Y182" s="1" t="s">
        <v>359</v>
      </c>
    </row>
    <row r="183" spans="24:28" x14ac:dyDescent="0.25">
      <c r="X183" s="1">
        <f t="shared" si="2"/>
        <v>0</v>
      </c>
      <c r="Y183" s="1" t="s">
        <v>355</v>
      </c>
    </row>
    <row r="184" spans="24:28" x14ac:dyDescent="0.25">
      <c r="X184" s="1" t="str">
        <f t="shared" si="2"/>
        <v>Nom</v>
      </c>
      <c r="Y184" s="1" t="s">
        <v>148</v>
      </c>
      <c r="Z184" s="1" t="s">
        <v>149</v>
      </c>
      <c r="AA184" s="1" t="s">
        <v>150</v>
      </c>
      <c r="AB184" s="1" t="s">
        <v>350</v>
      </c>
    </row>
    <row r="185" spans="24:28" x14ac:dyDescent="0.25">
      <c r="X185" s="1" t="str">
        <f t="shared" si="2"/>
        <v>LEMONT Sylvain</v>
      </c>
      <c r="Y185" s="1">
        <v>14869</v>
      </c>
      <c r="Z185" s="1" t="s">
        <v>55</v>
      </c>
      <c r="AA185" s="1" t="s">
        <v>198</v>
      </c>
      <c r="AB185" s="1" t="s">
        <v>203</v>
      </c>
    </row>
    <row r="186" spans="24:28" x14ac:dyDescent="0.25">
      <c r="X186" s="1" t="str">
        <f t="shared" si="2"/>
        <v>MAINE Daniel</v>
      </c>
      <c r="Y186" s="1">
        <v>14830</v>
      </c>
      <c r="Z186" s="1" t="s">
        <v>360</v>
      </c>
      <c r="AA186" s="1" t="s">
        <v>198</v>
      </c>
      <c r="AB186" s="1" t="s">
        <v>203</v>
      </c>
    </row>
    <row r="187" spans="24:28" x14ac:dyDescent="0.25">
      <c r="X187" s="1" t="str">
        <f t="shared" si="2"/>
        <v>WEBER Laurent</v>
      </c>
      <c r="Y187" s="1">
        <v>15026</v>
      </c>
      <c r="Z187" s="1" t="s">
        <v>361</v>
      </c>
      <c r="AA187" s="1" t="s">
        <v>198</v>
      </c>
      <c r="AB187" s="1" t="s">
        <v>203</v>
      </c>
    </row>
    <row r="188" spans="24:28" x14ac:dyDescent="0.25">
      <c r="X188" s="1" t="str">
        <f t="shared" si="2"/>
        <v>DAUPHIN Michel</v>
      </c>
      <c r="Y188" s="1">
        <v>14828</v>
      </c>
      <c r="Z188" s="1" t="s">
        <v>362</v>
      </c>
      <c r="AA188" s="1" t="s">
        <v>198</v>
      </c>
      <c r="AB188" s="1" t="s">
        <v>203</v>
      </c>
    </row>
  </sheetData>
  <sortState xmlns:xlrd2="http://schemas.microsoft.com/office/spreadsheetml/2017/richdata2" ref="Z34:AA44">
    <sortCondition ref="Z34"/>
  </sortState>
  <hyperlinks>
    <hyperlink ref="BF3" r:id="rId1" xr:uid="{00000000-0004-0000-0900-000000000000}"/>
    <hyperlink ref="BF1" r:id="rId2" xr:uid="{00000000-0004-0000-0900-000001000000}"/>
    <hyperlink ref="BF2" r:id="rId3" xr:uid="{00000000-0004-0000-0900-000002000000}"/>
    <hyperlink ref="BF4" r:id="rId4" xr:uid="{00000000-0004-0000-0900-000003000000}"/>
    <hyperlink ref="BF5" r:id="rId5" xr:uid="{00000000-0004-0000-0900-000004000000}"/>
    <hyperlink ref="BF6" r:id="rId6" xr:uid="{00000000-0004-0000-0900-000005000000}"/>
    <hyperlink ref="BF7" r:id="rId7" xr:uid="{00000000-0004-0000-0900-000006000000}"/>
    <hyperlink ref="BF8" r:id="rId8" xr:uid="{00000000-0004-0000-0900-000007000000}"/>
    <hyperlink ref="BF13" r:id="rId9" xr:uid="{00000000-0004-0000-0900-000008000000}"/>
    <hyperlink ref="BF12" r:id="rId10" xr:uid="{00000000-0004-0000-0900-000009000000}"/>
    <hyperlink ref="BF9" r:id="rId11" xr:uid="{00000000-0004-0000-0900-00000A000000}"/>
    <hyperlink ref="BF11" r:id="rId12" xr:uid="{00000000-0004-0000-0900-00000B000000}"/>
    <hyperlink ref="BF10" r:id="rId13" xr:uid="{00000000-0004-0000-0900-00000C000000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B0F0"/>
  </sheetPr>
  <dimension ref="A2:AO61"/>
  <sheetViews>
    <sheetView showGridLines="0" workbookViewId="0">
      <selection activeCell="D25" sqref="D25"/>
    </sheetView>
  </sheetViews>
  <sheetFormatPr baseColWidth="10" defaultRowHeight="15" customHeight="1" x14ac:dyDescent="0.25"/>
  <cols>
    <col min="1" max="1" width="2.28515625" customWidth="1"/>
    <col min="2" max="2" width="12.42578125" customWidth="1"/>
    <col min="3" max="3" width="39.5703125" customWidth="1"/>
    <col min="4" max="6" width="6.5703125" customWidth="1"/>
    <col min="7" max="7" width="8.28515625" customWidth="1"/>
    <col min="8" max="8" width="6" customWidth="1"/>
    <col min="9" max="9" width="2.85546875" hidden="1" customWidth="1"/>
    <col min="10" max="13" width="4.5703125" hidden="1" customWidth="1"/>
    <col min="14" max="14" width="3" hidden="1" customWidth="1"/>
    <col min="15" max="15" width="8.42578125" hidden="1" customWidth="1"/>
    <col min="16" max="16" width="25.28515625" hidden="1" customWidth="1"/>
    <col min="17" max="17" width="7" hidden="1" customWidth="1"/>
    <col min="18" max="18" width="18.42578125" hidden="1" customWidth="1"/>
    <col min="19" max="19" width="2" hidden="1" customWidth="1"/>
    <col min="20" max="20" width="10.140625" hidden="1" customWidth="1"/>
    <col min="21" max="21" width="4.5703125" hidden="1" customWidth="1"/>
    <col min="22" max="22" width="2" style="1" hidden="1" customWidth="1"/>
    <col min="23" max="23" width="4.5703125" hidden="1" customWidth="1"/>
    <col min="24" max="25" width="3" hidden="1" customWidth="1"/>
    <col min="26" max="27" width="4.5703125" hidden="1" customWidth="1"/>
    <col min="28" max="28" width="8.85546875" hidden="1" customWidth="1"/>
    <col min="29" max="29" width="18.42578125" hidden="1" customWidth="1"/>
    <col min="30" max="36" width="2" hidden="1" customWidth="1"/>
    <col min="37" max="38" width="3" hidden="1" customWidth="1"/>
    <col min="39" max="41" width="4.5703125" hidden="1" customWidth="1"/>
    <col min="42" max="43" width="0" hidden="1" customWidth="1"/>
  </cols>
  <sheetData>
    <row r="2" spans="1:35" ht="15" customHeight="1" x14ac:dyDescent="0.25">
      <c r="B2" s="290" t="s">
        <v>318</v>
      </c>
      <c r="C2" s="290"/>
      <c r="D2" s="290"/>
      <c r="E2" s="290"/>
      <c r="F2" s="290"/>
      <c r="G2" s="290"/>
      <c r="H2" s="153"/>
    </row>
    <row r="3" spans="1:35" ht="15" customHeight="1" x14ac:dyDescent="0.25">
      <c r="B3" s="290"/>
      <c r="C3" s="290"/>
      <c r="D3" s="290"/>
      <c r="E3" s="290"/>
      <c r="F3" s="290"/>
      <c r="G3" s="290"/>
      <c r="H3" s="153"/>
    </row>
    <row r="4" spans="1:35" ht="15" customHeight="1" x14ac:dyDescent="0.25">
      <c r="A4" s="91"/>
      <c r="C4" s="91"/>
      <c r="D4" s="91"/>
      <c r="E4" s="91"/>
      <c r="F4" s="91"/>
      <c r="G4" s="91"/>
      <c r="H4" s="91"/>
      <c r="I4" s="91"/>
      <c r="O4" s="92" t="str">
        <f>'Calc Inscription Joueurs'!A16</f>
        <v>Aucune</v>
      </c>
      <c r="P4" s="92" t="str">
        <f>'Calc Inscription Joueurs'!AB4</f>
        <v>Aucune</v>
      </c>
    </row>
    <row r="5" spans="1:35" ht="15" customHeight="1" thickBot="1" x14ac:dyDescent="0.3">
      <c r="A5" s="91"/>
      <c r="C5" s="174">
        <f>IF('Calc Inscription Joueurs'!C4="","",'Calc Inscription Joueurs'!C4)</f>
        <v>0</v>
      </c>
      <c r="D5" s="289" t="str">
        <f>IF('Calc Inscription Joueurs'!C5="","",'Calc Inscription Joueurs'!C5)</f>
        <v/>
      </c>
      <c r="E5" s="289"/>
      <c r="F5" s="289"/>
      <c r="G5" s="91"/>
      <c r="H5" s="91"/>
      <c r="I5" s="91"/>
    </row>
    <row r="6" spans="1:35" ht="19.5" customHeight="1" thickBot="1" x14ac:dyDescent="0.3">
      <c r="A6" s="91"/>
      <c r="B6" s="93" t="str">
        <f>'Calc Feuille de résultats'!B6</f>
        <v>POULE 1</v>
      </c>
      <c r="C6" s="94" t="str">
        <f>'Calc Feuille de résultats'!C5</f>
        <v>Match 1</v>
      </c>
      <c r="D6" s="95" t="s">
        <v>139</v>
      </c>
      <c r="E6" s="95" t="s">
        <v>140</v>
      </c>
      <c r="F6" s="95" t="s">
        <v>141</v>
      </c>
      <c r="G6" s="96" t="s">
        <v>142</v>
      </c>
      <c r="H6" s="91"/>
      <c r="I6" s="91"/>
      <c r="AC6">
        <v>1</v>
      </c>
      <c r="AD6">
        <v>2</v>
      </c>
      <c r="AE6">
        <v>3</v>
      </c>
      <c r="AF6">
        <v>4</v>
      </c>
      <c r="AG6">
        <v>5</v>
      </c>
      <c r="AH6">
        <v>6</v>
      </c>
      <c r="AI6">
        <v>7</v>
      </c>
    </row>
    <row r="7" spans="1:35" ht="22.5" customHeight="1" x14ac:dyDescent="0.25">
      <c r="A7" s="91"/>
      <c r="B7" s="97" t="s">
        <v>138</v>
      </c>
      <c r="C7" s="98" t="str">
        <f>IFERROR('Calc Feuille de résultats'!C6,"")</f>
        <v/>
      </c>
      <c r="D7" s="169"/>
      <c r="E7" s="169"/>
      <c r="F7" s="169"/>
      <c r="G7" s="99" t="str">
        <f>IF(OR(D7="",E7=""),"",D7/E7)</f>
        <v/>
      </c>
      <c r="H7" s="91"/>
      <c r="I7" s="91"/>
      <c r="AC7" s="100" t="str">
        <f t="shared" ref="AC7:AF8" si="0">C7</f>
        <v/>
      </c>
      <c r="AD7" s="5">
        <f t="shared" si="0"/>
        <v>0</v>
      </c>
      <c r="AE7" s="5">
        <f t="shared" si="0"/>
        <v>0</v>
      </c>
      <c r="AF7" s="6">
        <f t="shared" si="0"/>
        <v>0</v>
      </c>
      <c r="AG7" t="str">
        <f>IF(AC7="","",IF($AD7&gt;$AD8,1,0))</f>
        <v/>
      </c>
      <c r="AH7" t="str">
        <f>IF(AC7="","",IF(AD7=AD8,1,0))</f>
        <v/>
      </c>
      <c r="AI7" t="str">
        <f>IF(AC7="","",IF(AD7&lt;AD8,1,0))</f>
        <v/>
      </c>
    </row>
    <row r="8" spans="1:35" ht="22.5" customHeight="1" thickBot="1" x14ac:dyDescent="0.3">
      <c r="A8" s="91"/>
      <c r="B8" s="101" t="str">
        <f>Listing!V10</f>
        <v>2m80</v>
      </c>
      <c r="C8" s="102" t="str">
        <f>IFERROR('Calc Feuille de résultats'!C7,"")</f>
        <v/>
      </c>
      <c r="D8" s="170"/>
      <c r="E8" s="103" t="str">
        <f>IF(OR(D7="",E7=""),"",E7)</f>
        <v/>
      </c>
      <c r="F8" s="170"/>
      <c r="G8" s="104" t="str">
        <f>IF(OR(D8="",E8=""),"",D8/E8)</f>
        <v/>
      </c>
      <c r="H8" s="91"/>
      <c r="I8" s="91"/>
      <c r="P8" t="s">
        <v>288</v>
      </c>
      <c r="AC8" s="12" t="str">
        <f t="shared" si="0"/>
        <v/>
      </c>
      <c r="AD8">
        <f t="shared" si="0"/>
        <v>0</v>
      </c>
      <c r="AE8" t="str">
        <f t="shared" si="0"/>
        <v/>
      </c>
      <c r="AF8" s="8">
        <f t="shared" si="0"/>
        <v>0</v>
      </c>
      <c r="AG8" t="str">
        <f>IF(AC8="","",IF($AD8&gt;$AD7,1,0))</f>
        <v/>
      </c>
      <c r="AH8" t="str">
        <f>IF(AC8="","",IF(AD8=AD7,1,0))</f>
        <v/>
      </c>
      <c r="AI8" t="str">
        <f>IF(AC8="","",IF(AD8&lt;AD7,1,0))</f>
        <v/>
      </c>
    </row>
    <row r="9" spans="1:35" ht="3.75" customHeight="1" thickBot="1" x14ac:dyDescent="0.3">
      <c r="A9" s="91"/>
      <c r="B9" s="105"/>
      <c r="C9" s="105"/>
      <c r="D9" s="152">
        <f>COUNTA(D7:F8)-1</f>
        <v>0</v>
      </c>
      <c r="E9" s="105"/>
      <c r="F9" s="105"/>
      <c r="G9" s="106"/>
      <c r="H9" s="91"/>
      <c r="I9" s="91"/>
      <c r="P9" s="107" t="s">
        <v>287</v>
      </c>
      <c r="Q9" s="107"/>
      <c r="R9" s="107"/>
      <c r="AC9" s="12"/>
      <c r="AF9" s="8"/>
    </row>
    <row r="10" spans="1:35" ht="19.5" customHeight="1" thickBot="1" x14ac:dyDescent="0.3">
      <c r="A10" s="91"/>
      <c r="B10" s="93" t="str">
        <f>B6</f>
        <v>POULE 1</v>
      </c>
      <c r="C10" s="108" t="str">
        <f>'Calc Feuille de résultats'!C14</f>
        <v>Match 2</v>
      </c>
      <c r="D10" s="95" t="s">
        <v>139</v>
      </c>
      <c r="E10" s="95" t="s">
        <v>140</v>
      </c>
      <c r="F10" s="95" t="s">
        <v>141</v>
      </c>
      <c r="G10" s="109" t="s">
        <v>142</v>
      </c>
      <c r="H10" s="91"/>
      <c r="I10" s="91"/>
      <c r="AC10" s="12" t="str">
        <f t="shared" ref="AC10:AF11" si="1">C20</f>
        <v/>
      </c>
      <c r="AD10">
        <f t="shared" si="1"/>
        <v>0</v>
      </c>
      <c r="AE10">
        <f t="shared" si="1"/>
        <v>0</v>
      </c>
      <c r="AF10" s="8">
        <f t="shared" si="1"/>
        <v>0</v>
      </c>
      <c r="AG10" t="str">
        <f>IF(AC10="","",IF($AD10&gt;$AD11,1,0))</f>
        <v/>
      </c>
      <c r="AH10" t="str">
        <f>IF(AC10="","",IF(AD10=AD11,1,0))</f>
        <v/>
      </c>
      <c r="AI10" t="str">
        <f>IF(AC10="","",IF(AD10&lt;AD11,1,0))</f>
        <v/>
      </c>
    </row>
    <row r="11" spans="1:35" ht="22.5" customHeight="1" thickBot="1" x14ac:dyDescent="0.3">
      <c r="A11" s="91"/>
      <c r="B11" s="97" t="s">
        <v>138</v>
      </c>
      <c r="C11" s="110" t="str">
        <f>IF(D9&lt;5,"",'Calc Feuille de résultats'!C15)</f>
        <v/>
      </c>
      <c r="D11" s="169"/>
      <c r="E11" s="169"/>
      <c r="F11" s="169"/>
      <c r="G11" s="99" t="str">
        <f>IF(OR(D11="",E11=""),"",D11/E11)</f>
        <v/>
      </c>
      <c r="H11" s="91"/>
      <c r="I11" s="91"/>
      <c r="AB11" t="s">
        <v>293</v>
      </c>
      <c r="AC11" s="12" t="str">
        <f t="shared" si="1"/>
        <v/>
      </c>
      <c r="AD11">
        <f t="shared" si="1"/>
        <v>0</v>
      </c>
      <c r="AE11" t="str">
        <f t="shared" si="1"/>
        <v/>
      </c>
      <c r="AF11" s="8">
        <f t="shared" si="1"/>
        <v>0</v>
      </c>
      <c r="AG11" t="str">
        <f>IF(AC11="","",IF($AD11&gt;$AD10,1,0))</f>
        <v/>
      </c>
      <c r="AH11" t="str">
        <f>IF(AC11="","",IF(AD11=AD10,1,0))</f>
        <v/>
      </c>
      <c r="AI11" t="str">
        <f>IF(AC11="","",IF(AD11&lt;AD10,1,0))</f>
        <v/>
      </c>
    </row>
    <row r="12" spans="1:35" ht="22.5" customHeight="1" thickBot="1" x14ac:dyDescent="0.3">
      <c r="A12" s="91"/>
      <c r="B12" s="101" t="str">
        <f>B8</f>
        <v>2m80</v>
      </c>
      <c r="C12" s="111" t="str">
        <f>IF(D9&lt;5,"",'Calc Feuille de résultats'!C16)</f>
        <v/>
      </c>
      <c r="D12" s="170"/>
      <c r="E12" s="103" t="str">
        <f>IF(OR(D11="",E11=""),"",E11)</f>
        <v/>
      </c>
      <c r="F12" s="170"/>
      <c r="G12" s="104" t="str">
        <f>IF(OR(D12="",E12=""),"",D12/E12)</f>
        <v/>
      </c>
      <c r="H12" s="91"/>
      <c r="I12" s="91"/>
      <c r="O12" s="1" t="s">
        <v>277</v>
      </c>
      <c r="P12" s="112" t="str">
        <f>B8</f>
        <v>2m80</v>
      </c>
      <c r="Q12" s="1" t="s">
        <v>77</v>
      </c>
      <c r="R12" s="286">
        <f>'INSCRIPTION DES JOUEURS'!E9</f>
        <v>0</v>
      </c>
      <c r="S12" s="287"/>
      <c r="T12" s="288"/>
      <c r="AC12" s="12"/>
      <c r="AF12" s="8"/>
    </row>
    <row r="13" spans="1:35" ht="3.75" customHeight="1" thickBot="1" x14ac:dyDescent="0.3">
      <c r="A13" s="91"/>
      <c r="B13" s="105"/>
      <c r="C13" s="105"/>
      <c r="D13" s="152">
        <f>COUNTA(D11:F12)+D9-1</f>
        <v>0</v>
      </c>
      <c r="E13" s="91"/>
      <c r="F13" s="105"/>
      <c r="G13" s="106"/>
      <c r="H13" s="91"/>
      <c r="I13" s="91"/>
      <c r="AC13" s="12" t="str">
        <f t="shared" ref="AC13:AF14" si="2">C33</f>
        <v/>
      </c>
      <c r="AD13">
        <f t="shared" si="2"/>
        <v>0</v>
      </c>
      <c r="AE13">
        <f t="shared" si="2"/>
        <v>0</v>
      </c>
      <c r="AF13" s="8">
        <f t="shared" si="2"/>
        <v>0</v>
      </c>
      <c r="AG13" t="str">
        <f>IF(AC13="","",IF($AD13&gt;$AD14,1,0))</f>
        <v/>
      </c>
      <c r="AH13" t="str">
        <f>IF(AC13="","",IF(AD13=AD14,1,0))</f>
        <v/>
      </c>
      <c r="AI13" t="str">
        <f>IF(AC13="","",IF(AD13&lt;AD14,1,0))</f>
        <v/>
      </c>
    </row>
    <row r="14" spans="1:35" ht="19.5" customHeight="1" thickBot="1" x14ac:dyDescent="0.3">
      <c r="A14" s="91"/>
      <c r="B14" s="93" t="str">
        <f>B10</f>
        <v>POULE 1</v>
      </c>
      <c r="C14" s="108" t="str">
        <f>'Calc Feuille de résultats'!C23</f>
        <v>Match 3</v>
      </c>
      <c r="D14" s="95" t="s">
        <v>139</v>
      </c>
      <c r="E14" s="95" t="s">
        <v>140</v>
      </c>
      <c r="F14" s="95" t="s">
        <v>141</v>
      </c>
      <c r="G14" s="109" t="s">
        <v>142</v>
      </c>
      <c r="H14" s="91"/>
      <c r="I14" s="91"/>
      <c r="N14" t="str">
        <f>IFERROR(RANK(Y14,$Y$14:$Y$57,1),"")</f>
        <v/>
      </c>
      <c r="O14" s="100" t="s">
        <v>278</v>
      </c>
      <c r="P14" s="5" t="s">
        <v>279</v>
      </c>
      <c r="Q14" s="113" t="str">
        <f>IF(R14="","",VLOOKUP(R14,Listing!$X$3:$Y$176,2,0))</f>
        <v/>
      </c>
      <c r="R14" s="5" t="str">
        <f>C7</f>
        <v/>
      </c>
      <c r="S14" s="5"/>
      <c r="T14" s="5"/>
      <c r="U14" s="5"/>
      <c r="V14" s="16"/>
      <c r="X14">
        <v>1</v>
      </c>
      <c r="Y14" t="str">
        <f>IF(Q14="","",X14)</f>
        <v/>
      </c>
      <c r="AC14" s="13" t="str">
        <f t="shared" si="2"/>
        <v/>
      </c>
      <c r="AD14" s="10">
        <f t="shared" si="2"/>
        <v>0</v>
      </c>
      <c r="AE14" s="10" t="str">
        <f t="shared" si="2"/>
        <v/>
      </c>
      <c r="AF14" s="11">
        <f t="shared" si="2"/>
        <v>0</v>
      </c>
      <c r="AG14" t="str">
        <f>IF(AC14="","",IF($AD14&gt;$AD13,1,0))</f>
        <v/>
      </c>
      <c r="AH14" t="str">
        <f>IF(AC14="","",IF(AD14=AD13,1,0))</f>
        <v/>
      </c>
      <c r="AI14" t="str">
        <f>IF(AC14="","",IF(AD14&lt;AD13,1,0))</f>
        <v/>
      </c>
    </row>
    <row r="15" spans="1:35" ht="22.5" customHeight="1" thickBot="1" x14ac:dyDescent="0.3">
      <c r="A15" s="91"/>
      <c r="B15" s="97" t="str">
        <f>B6</f>
        <v>POULE 1</v>
      </c>
      <c r="C15" s="110" t="str">
        <f>IF(D13&lt;10,"",'Calc Feuille de résultats'!C24)</f>
        <v/>
      </c>
      <c r="D15" s="169"/>
      <c r="E15" s="169"/>
      <c r="F15" s="169"/>
      <c r="G15" s="99" t="str">
        <f>IF(OR(D15="",E15=""),"",D15/E15)</f>
        <v/>
      </c>
      <c r="H15" s="91"/>
      <c r="I15" s="91"/>
      <c r="N15" t="str">
        <f t="shared" ref="N15:N57" si="3">IFERROR(RANK(Y15,$Y$14:$Y$57,1),"")</f>
        <v/>
      </c>
      <c r="O15" s="13"/>
      <c r="P15" s="10" t="s">
        <v>280</v>
      </c>
      <c r="Q15" s="114">
        <f>D7</f>
        <v>0</v>
      </c>
      <c r="R15" s="115">
        <f>E7</f>
        <v>0</v>
      </c>
      <c r="S15" s="116">
        <f>F7</f>
        <v>0</v>
      </c>
      <c r="T15" s="10" t="s">
        <v>282</v>
      </c>
      <c r="U15" s="10"/>
      <c r="V15" s="115">
        <f>IF(OR(Q15="",Q17=""),"",IF(Q15&gt;Q17,2,IF(Q15=Q17,1,0)))</f>
        <v>1</v>
      </c>
      <c r="X15">
        <v>2</v>
      </c>
      <c r="Y15" t="str">
        <f>IF(Q14="","",X15)</f>
        <v/>
      </c>
    </row>
    <row r="16" spans="1:35" ht="22.5" customHeight="1" thickBot="1" x14ac:dyDescent="0.3">
      <c r="A16" s="91"/>
      <c r="B16" s="101" t="str">
        <f>B8</f>
        <v>2m80</v>
      </c>
      <c r="C16" s="111" t="str">
        <f>IF(D13&lt;10,"",'Calc Feuille de résultats'!C25)</f>
        <v/>
      </c>
      <c r="D16" s="170"/>
      <c r="E16" s="103" t="str">
        <f>IF(OR(D15="",E15=""),"",E15)</f>
        <v/>
      </c>
      <c r="F16" s="170"/>
      <c r="G16" s="104" t="str">
        <f>IF(OR(D16="",E16=""),"",D16/E16)</f>
        <v/>
      </c>
      <c r="H16" s="91"/>
      <c r="I16" s="91"/>
      <c r="N16" t="str">
        <f t="shared" si="3"/>
        <v/>
      </c>
      <c r="O16" s="100" t="s">
        <v>281</v>
      </c>
      <c r="P16" s="5" t="s">
        <v>279</v>
      </c>
      <c r="Q16" s="113" t="str">
        <f>IF(R16="","",VLOOKUP(R16,Listing!$X$3:$Y$176,2,0))</f>
        <v/>
      </c>
      <c r="R16" s="5" t="str">
        <f>C8</f>
        <v/>
      </c>
      <c r="S16" s="5"/>
      <c r="T16" s="5"/>
      <c r="U16" s="5"/>
      <c r="V16" s="16"/>
      <c r="X16">
        <v>3</v>
      </c>
      <c r="Y16" t="str">
        <f t="shared" ref="Y16:Y56" si="4">IF(Q16="","",X16)</f>
        <v/>
      </c>
      <c r="AC16" s="100" t="str">
        <f t="shared" ref="AC16:AF17" si="5">C11</f>
        <v/>
      </c>
      <c r="AD16" s="5">
        <f t="shared" si="5"/>
        <v>0</v>
      </c>
      <c r="AE16" s="5">
        <f t="shared" si="5"/>
        <v>0</v>
      </c>
      <c r="AF16" s="6">
        <f t="shared" si="5"/>
        <v>0</v>
      </c>
      <c r="AG16" t="str">
        <f>IF(AC16="","",IF($AD16&gt;$AD17,1,0))</f>
        <v/>
      </c>
      <c r="AH16" t="str">
        <f>IF(AC16="","",IF(AD16=AD17,1,0))</f>
        <v/>
      </c>
      <c r="AI16" t="str">
        <f>IF(AC16="","",IF(AD16&lt;AD17,1,0))</f>
        <v/>
      </c>
    </row>
    <row r="17" spans="1:35" ht="15.75" thickBot="1" x14ac:dyDescent="0.3">
      <c r="A17" s="91"/>
      <c r="B17" s="33"/>
      <c r="C17" s="91"/>
      <c r="D17" s="91"/>
      <c r="E17" s="91"/>
      <c r="F17" s="91"/>
      <c r="G17" s="117"/>
      <c r="H17" s="91"/>
      <c r="I17" s="91"/>
      <c r="N17" t="str">
        <f t="shared" si="3"/>
        <v/>
      </c>
      <c r="O17" s="13"/>
      <c r="P17" s="10" t="s">
        <v>280</v>
      </c>
      <c r="Q17" s="115">
        <f>D8</f>
        <v>0</v>
      </c>
      <c r="R17" s="116" t="str">
        <f>E8</f>
        <v/>
      </c>
      <c r="S17" s="115">
        <f>F8</f>
        <v>0</v>
      </c>
      <c r="T17" s="10" t="s">
        <v>282</v>
      </c>
      <c r="U17" s="10"/>
      <c r="V17" s="115">
        <f>IF(OR(Q17="",Q15=""),"",IF(Q17&gt;Q15,2,IF(Q17=Q15,1,0)))</f>
        <v>1</v>
      </c>
      <c r="X17">
        <v>4</v>
      </c>
      <c r="Y17" t="str">
        <f>IF(Q16="","",X17)</f>
        <v/>
      </c>
      <c r="AC17" s="12" t="str">
        <f t="shared" si="5"/>
        <v/>
      </c>
      <c r="AD17">
        <f t="shared" si="5"/>
        <v>0</v>
      </c>
      <c r="AE17" t="str">
        <f t="shared" si="5"/>
        <v/>
      </c>
      <c r="AF17" s="8">
        <f t="shared" si="5"/>
        <v>0</v>
      </c>
      <c r="AG17" t="str">
        <f>IF(AC17="","",IF($AD17&gt;$AD16,1,0))</f>
        <v/>
      </c>
      <c r="AH17" t="str">
        <f>IF(AC17="","",IF(AD17=AD16,1,0))</f>
        <v/>
      </c>
      <c r="AI17" t="str">
        <f>IF(AC17="","",IF(AD17&lt;AD16,1,0))</f>
        <v/>
      </c>
    </row>
    <row r="18" spans="1:35" ht="15" customHeight="1" thickBot="1" x14ac:dyDescent="0.3">
      <c r="A18" s="91"/>
      <c r="B18" s="33"/>
      <c r="C18" s="174">
        <f>IF(C19="","",$C$5)</f>
        <v>0</v>
      </c>
      <c r="D18" s="289" t="str">
        <f>IF(C19="","",$D$5)</f>
        <v/>
      </c>
      <c r="E18" s="289"/>
      <c r="F18" s="289"/>
      <c r="G18" s="117"/>
      <c r="H18" s="91"/>
      <c r="I18" s="91"/>
      <c r="N18" t="str">
        <f t="shared" si="3"/>
        <v/>
      </c>
      <c r="X18">
        <v>5</v>
      </c>
      <c r="Y18" t="str">
        <f t="shared" si="4"/>
        <v/>
      </c>
      <c r="AC18" s="12"/>
      <c r="AF18" s="8"/>
    </row>
    <row r="19" spans="1:35" ht="19.5" customHeight="1" thickBot="1" x14ac:dyDescent="0.3">
      <c r="A19" s="91"/>
      <c r="B19" s="93" t="str">
        <f>'Calc Feuille de résultats'!K6</f>
        <v>POULE 2</v>
      </c>
      <c r="C19" s="108" t="str">
        <f>'Calc Feuille de résultats'!L5</f>
        <v>Match 1</v>
      </c>
      <c r="D19" s="95" t="s">
        <v>139</v>
      </c>
      <c r="E19" s="95" t="s">
        <v>140</v>
      </c>
      <c r="F19" s="95" t="s">
        <v>141</v>
      </c>
      <c r="G19" s="109" t="s">
        <v>142</v>
      </c>
      <c r="H19" s="91"/>
      <c r="I19" s="91"/>
      <c r="N19" t="str">
        <f t="shared" si="3"/>
        <v/>
      </c>
      <c r="O19" s="100" t="s">
        <v>278</v>
      </c>
      <c r="P19" s="5" t="s">
        <v>279</v>
      </c>
      <c r="Q19" s="113" t="str">
        <f>IF(R19="","",VLOOKUP(R19,Listing!$X$3:$Y$176,2,0))</f>
        <v/>
      </c>
      <c r="R19" s="5" t="str">
        <f>C11</f>
        <v/>
      </c>
      <c r="S19" s="5"/>
      <c r="T19" s="5"/>
      <c r="U19" s="5"/>
      <c r="V19" s="16"/>
      <c r="X19">
        <v>6</v>
      </c>
      <c r="Y19" t="str">
        <f t="shared" si="4"/>
        <v/>
      </c>
      <c r="AB19" t="s">
        <v>294</v>
      </c>
      <c r="AC19" s="12" t="str">
        <f t="shared" ref="AC19:AF20" si="6">C24</f>
        <v/>
      </c>
      <c r="AD19">
        <f t="shared" si="6"/>
        <v>0</v>
      </c>
      <c r="AE19">
        <f t="shared" si="6"/>
        <v>0</v>
      </c>
      <c r="AF19" s="8">
        <f t="shared" si="6"/>
        <v>0</v>
      </c>
      <c r="AG19" t="str">
        <f>IF(AC19="","",IF($AD19&gt;$AD20,1,0))</f>
        <v/>
      </c>
      <c r="AH19" t="str">
        <f>IF(AC19="","",IF(AD19=AD20,1,0))</f>
        <v/>
      </c>
      <c r="AI19" t="str">
        <f>IF(AC19="","",IF(AD19&lt;AD20,1,0))</f>
        <v/>
      </c>
    </row>
    <row r="20" spans="1:35" ht="22.5" customHeight="1" thickBot="1" x14ac:dyDescent="0.3">
      <c r="A20" s="91"/>
      <c r="B20" s="97" t="s">
        <v>138</v>
      </c>
      <c r="C20" s="98" t="str">
        <f>IFERROR('Calc Feuille de résultats'!L6,"")</f>
        <v/>
      </c>
      <c r="D20" s="169"/>
      <c r="E20" s="169"/>
      <c r="F20" s="169"/>
      <c r="G20" s="99" t="str">
        <f>IF(OR(D20="",E20=""),"",D20/E20)</f>
        <v/>
      </c>
      <c r="H20" s="91"/>
      <c r="I20" s="91"/>
      <c r="N20" t="str">
        <f t="shared" si="3"/>
        <v/>
      </c>
      <c r="O20" s="13"/>
      <c r="P20" s="10" t="s">
        <v>280</v>
      </c>
      <c r="Q20" s="115">
        <f>D11</f>
        <v>0</v>
      </c>
      <c r="R20" s="115">
        <f>E11</f>
        <v>0</v>
      </c>
      <c r="S20" s="116">
        <f>F11</f>
        <v>0</v>
      </c>
      <c r="T20" s="10" t="s">
        <v>282</v>
      </c>
      <c r="U20" s="10"/>
      <c r="V20" s="115">
        <f>IF(OR(Q20="",Q22=""),"",IF(Q20&gt;Q22,2,IF(Q20=Q22,1,0)))</f>
        <v>1</v>
      </c>
      <c r="X20">
        <v>7</v>
      </c>
      <c r="Y20" t="str">
        <f>IF(Q19="","",X20)</f>
        <v/>
      </c>
      <c r="AC20" s="12" t="str">
        <f t="shared" si="6"/>
        <v/>
      </c>
      <c r="AD20">
        <f t="shared" si="6"/>
        <v>0</v>
      </c>
      <c r="AE20" t="str">
        <f t="shared" si="6"/>
        <v/>
      </c>
      <c r="AF20" s="8">
        <f t="shared" si="6"/>
        <v>0</v>
      </c>
      <c r="AG20" t="str">
        <f>IF(AC20="","",IF($AD20&gt;$AD19,1,0))</f>
        <v/>
      </c>
      <c r="AH20" t="str">
        <f>IF(AC20="","",IF(AD20=AD19,1,0))</f>
        <v/>
      </c>
      <c r="AI20" t="str">
        <f>IF(AC20="","",IF(AD20&lt;AD19,1,0))</f>
        <v/>
      </c>
    </row>
    <row r="21" spans="1:35" ht="22.5" customHeight="1" thickBot="1" x14ac:dyDescent="0.3">
      <c r="A21" s="91"/>
      <c r="B21" s="101" t="str">
        <f>B8</f>
        <v>2m80</v>
      </c>
      <c r="C21" s="102" t="str">
        <f>IFERROR('Calc Feuille de résultats'!L7,"")</f>
        <v/>
      </c>
      <c r="D21" s="170"/>
      <c r="E21" s="103" t="str">
        <f>IF(OR(D20="",E20=""),"",E20)</f>
        <v/>
      </c>
      <c r="F21" s="170"/>
      <c r="G21" s="104" t="str">
        <f>IF(OR(D21="",E21=""),"",D21/E21)</f>
        <v/>
      </c>
      <c r="H21" s="91"/>
      <c r="I21" s="91"/>
      <c r="N21" t="str">
        <f t="shared" si="3"/>
        <v/>
      </c>
      <c r="O21" s="100" t="s">
        <v>281</v>
      </c>
      <c r="P21" s="5" t="s">
        <v>279</v>
      </c>
      <c r="Q21" s="113" t="str">
        <f>IF(R21="","",VLOOKUP(R21,Listing!$X$3:$Y$176,2,0))</f>
        <v/>
      </c>
      <c r="R21" s="5" t="str">
        <f>C12</f>
        <v/>
      </c>
      <c r="S21" s="5"/>
      <c r="T21" s="5"/>
      <c r="U21" s="5"/>
      <c r="V21" s="16"/>
      <c r="X21">
        <v>8</v>
      </c>
      <c r="Y21" t="str">
        <f t="shared" si="4"/>
        <v/>
      </c>
      <c r="AC21" s="12"/>
      <c r="AF21" s="8"/>
    </row>
    <row r="22" spans="1:35" ht="3.75" customHeight="1" thickBot="1" x14ac:dyDescent="0.3">
      <c r="A22" s="91"/>
      <c r="B22" s="105"/>
      <c r="C22" s="105"/>
      <c r="D22" s="152">
        <f>COUNTA(D20:F21)-1</f>
        <v>0</v>
      </c>
      <c r="E22" s="105"/>
      <c r="F22" s="105"/>
      <c r="G22" s="106"/>
      <c r="H22" s="91"/>
      <c r="I22" s="91"/>
      <c r="N22" t="str">
        <f t="shared" si="3"/>
        <v/>
      </c>
      <c r="O22" s="13"/>
      <c r="P22" s="10" t="s">
        <v>280</v>
      </c>
      <c r="Q22" s="115">
        <f>D12</f>
        <v>0</v>
      </c>
      <c r="R22" s="116" t="str">
        <f>E12</f>
        <v/>
      </c>
      <c r="S22" s="115">
        <f>F12</f>
        <v>0</v>
      </c>
      <c r="T22" s="10" t="s">
        <v>282</v>
      </c>
      <c r="U22" s="10"/>
      <c r="V22" s="115">
        <f>IF(OR(Q22="",Q20=""),"",IF(Q22&gt;Q20,2,IF(Q22=Q20,1,0)))</f>
        <v>1</v>
      </c>
      <c r="X22">
        <v>9</v>
      </c>
      <c r="Y22" t="str">
        <f>IF(Q21="","",X22)</f>
        <v/>
      </c>
      <c r="AC22" s="12" t="str">
        <f t="shared" ref="AC22:AF23" si="7">C37</f>
        <v/>
      </c>
      <c r="AD22">
        <f t="shared" si="7"/>
        <v>0</v>
      </c>
      <c r="AE22">
        <f t="shared" si="7"/>
        <v>0</v>
      </c>
      <c r="AF22" s="8">
        <f t="shared" si="7"/>
        <v>0</v>
      </c>
      <c r="AG22" t="str">
        <f>IF(AC22="","",IF($AD22&gt;$AD23,1,0))</f>
        <v/>
      </c>
      <c r="AH22" t="str">
        <f>IF(AC22="","",IF(AD22=AD23,1,0))</f>
        <v/>
      </c>
      <c r="AI22" t="str">
        <f>IF(AC22="","",IF(AD22&lt;AD23,1,0))</f>
        <v/>
      </c>
    </row>
    <row r="23" spans="1:35" ht="19.5" customHeight="1" thickBot="1" x14ac:dyDescent="0.3">
      <c r="A23" s="91"/>
      <c r="B23" s="93" t="str">
        <f>B19</f>
        <v>POULE 2</v>
      </c>
      <c r="C23" s="108" t="str">
        <f>'Calc Feuille de résultats'!L14</f>
        <v>Match 2</v>
      </c>
      <c r="D23" s="95" t="s">
        <v>139</v>
      </c>
      <c r="E23" s="95" t="s">
        <v>140</v>
      </c>
      <c r="F23" s="95" t="s">
        <v>141</v>
      </c>
      <c r="G23" s="109" t="s">
        <v>142</v>
      </c>
      <c r="H23" s="91"/>
      <c r="I23" s="91"/>
      <c r="N23" t="str">
        <f t="shared" si="3"/>
        <v/>
      </c>
      <c r="X23">
        <v>10</v>
      </c>
      <c r="Y23" t="str">
        <f t="shared" si="4"/>
        <v/>
      </c>
      <c r="AC23" s="13" t="str">
        <f t="shared" si="7"/>
        <v/>
      </c>
      <c r="AD23" s="10">
        <f t="shared" si="7"/>
        <v>0</v>
      </c>
      <c r="AE23" s="10" t="str">
        <f t="shared" si="7"/>
        <v/>
      </c>
      <c r="AF23" s="11">
        <f t="shared" si="7"/>
        <v>0</v>
      </c>
      <c r="AG23" t="str">
        <f>IF(AC23="","",IF($AD23&gt;$AD22,1,0))</f>
        <v/>
      </c>
      <c r="AH23" t="str">
        <f>IF(AC23="","",IF(AD23=AD22,1,0))</f>
        <v/>
      </c>
      <c r="AI23" t="str">
        <f>IF(AC23="","",IF(AD23&lt;AD22,1,0))</f>
        <v/>
      </c>
    </row>
    <row r="24" spans="1:35" ht="22.5" customHeight="1" thickBot="1" x14ac:dyDescent="0.3">
      <c r="A24" s="91"/>
      <c r="B24" s="97" t="s">
        <v>138</v>
      </c>
      <c r="C24" s="110" t="str">
        <f>IF(D22&lt;5,"",'Calc Feuille de résultats'!L15)</f>
        <v/>
      </c>
      <c r="D24" s="169"/>
      <c r="E24" s="169"/>
      <c r="F24" s="169"/>
      <c r="G24" s="99" t="str">
        <f>IF(OR(D24="",E24=""),"",D24/E24)</f>
        <v/>
      </c>
      <c r="H24" s="91"/>
      <c r="I24" s="91"/>
      <c r="N24" t="str">
        <f t="shared" si="3"/>
        <v/>
      </c>
      <c r="O24" s="100" t="s">
        <v>278</v>
      </c>
      <c r="P24" s="5" t="s">
        <v>279</v>
      </c>
      <c r="Q24" s="113" t="str">
        <f>IF(R24="","",VLOOKUP(R24,Listing!$X$3:$Y$176,2,0))</f>
        <v/>
      </c>
      <c r="R24" s="5" t="str">
        <f>C15</f>
        <v/>
      </c>
      <c r="S24" s="5"/>
      <c r="T24" s="5"/>
      <c r="U24" s="5"/>
      <c r="V24" s="16"/>
      <c r="X24">
        <v>11</v>
      </c>
      <c r="Y24" t="str">
        <f t="shared" si="4"/>
        <v/>
      </c>
    </row>
    <row r="25" spans="1:35" ht="22.5" customHeight="1" thickBot="1" x14ac:dyDescent="0.3">
      <c r="B25" s="101" t="str">
        <f>B8</f>
        <v>2m80</v>
      </c>
      <c r="C25" s="111" t="str">
        <f>IF(D22&lt;5,"",'Calc Feuille de résultats'!L16)</f>
        <v/>
      </c>
      <c r="D25" s="170"/>
      <c r="E25" s="103" t="str">
        <f>IF(OR(D24="",E24=""),"",E24)</f>
        <v/>
      </c>
      <c r="F25" s="170"/>
      <c r="G25" s="104" t="str">
        <f>IF(OR(D25="",E25=""),"",D25/E25)</f>
        <v/>
      </c>
      <c r="N25" t="str">
        <f t="shared" si="3"/>
        <v/>
      </c>
      <c r="O25" s="13"/>
      <c r="P25" s="10" t="s">
        <v>280</v>
      </c>
      <c r="Q25" s="115" t="str">
        <f>IF($R24="","",D15)</f>
        <v/>
      </c>
      <c r="R25" s="115" t="str">
        <f>IF($R24="","",E15)</f>
        <v/>
      </c>
      <c r="S25" s="115" t="str">
        <f>IF($R24="","",F15)</f>
        <v/>
      </c>
      <c r="T25" s="10" t="s">
        <v>282</v>
      </c>
      <c r="U25" s="10"/>
      <c r="V25" s="115" t="str">
        <f>IF(OR(Q25="",Q27=""),"",IF(Q25&gt;Q27,2,IF(Q25=Q27,1,0)))</f>
        <v/>
      </c>
      <c r="X25">
        <v>12</v>
      </c>
      <c r="Y25" t="str">
        <f>IF(Q24="","",X25)</f>
        <v/>
      </c>
      <c r="AC25" s="100" t="str">
        <f t="shared" ref="AC25:AF26" si="8">C15</f>
        <v/>
      </c>
      <c r="AD25" s="5">
        <f t="shared" si="8"/>
        <v>0</v>
      </c>
      <c r="AE25" s="5">
        <f t="shared" si="8"/>
        <v>0</v>
      </c>
      <c r="AF25" s="6">
        <f t="shared" si="8"/>
        <v>0</v>
      </c>
      <c r="AG25" t="str">
        <f>IF(AC25="","",IF($AD25&gt;$AD26,1,0))</f>
        <v/>
      </c>
      <c r="AH25" t="str">
        <f>IF(AC25="","",IF(AD25=AD26,1,0))</f>
        <v/>
      </c>
      <c r="AI25" t="str">
        <f>IF(AC25="","",IF(AD25&lt;AD26,1,0))</f>
        <v/>
      </c>
    </row>
    <row r="26" spans="1:35" ht="3.75" customHeight="1" thickBot="1" x14ac:dyDescent="0.3">
      <c r="B26" s="105"/>
      <c r="C26" s="105"/>
      <c r="D26" s="152">
        <f>COUNTA(D24:F25)+D22-1</f>
        <v>0</v>
      </c>
      <c r="E26" s="91"/>
      <c r="F26" s="105"/>
      <c r="G26" s="106"/>
      <c r="N26" t="str">
        <f t="shared" si="3"/>
        <v/>
      </c>
      <c r="O26" s="100" t="s">
        <v>281</v>
      </c>
      <c r="P26" s="5" t="s">
        <v>279</v>
      </c>
      <c r="Q26" s="113" t="str">
        <f>IF(R26="","",VLOOKUP(R26,Listing!$X$3:$Y$176,2,0))</f>
        <v/>
      </c>
      <c r="R26" s="5" t="str">
        <f>C16</f>
        <v/>
      </c>
      <c r="S26" s="5"/>
      <c r="T26" s="5"/>
      <c r="U26" s="5"/>
      <c r="V26" s="16"/>
      <c r="X26">
        <v>13</v>
      </c>
      <c r="Y26" t="str">
        <f t="shared" si="4"/>
        <v/>
      </c>
      <c r="AC26" s="12" t="str">
        <f t="shared" si="8"/>
        <v/>
      </c>
      <c r="AD26">
        <f t="shared" si="8"/>
        <v>0</v>
      </c>
      <c r="AE26" t="str">
        <f t="shared" si="8"/>
        <v/>
      </c>
      <c r="AF26" s="8">
        <f t="shared" si="8"/>
        <v>0</v>
      </c>
      <c r="AG26" t="str">
        <f>IF(AC26="","",IF($AD26&gt;$AD25,1,0))</f>
        <v/>
      </c>
      <c r="AH26" t="str">
        <f>IF(AC26="","",IF(AD26=AD25,1,0))</f>
        <v/>
      </c>
      <c r="AI26" t="str">
        <f>IF(AC26="","",IF(AD26&lt;AD25,1,0))</f>
        <v/>
      </c>
    </row>
    <row r="27" spans="1:35" ht="19.5" customHeight="1" thickBot="1" x14ac:dyDescent="0.3">
      <c r="B27" s="93" t="str">
        <f>B19</f>
        <v>POULE 2</v>
      </c>
      <c r="C27" s="108" t="str">
        <f>'Calc Feuille de résultats'!L23</f>
        <v>Match 3</v>
      </c>
      <c r="D27" s="95" t="s">
        <v>139</v>
      </c>
      <c r="E27" s="95" t="s">
        <v>140</v>
      </c>
      <c r="F27" s="95" t="s">
        <v>141</v>
      </c>
      <c r="G27" s="109" t="s">
        <v>142</v>
      </c>
      <c r="N27" t="str">
        <f t="shared" si="3"/>
        <v/>
      </c>
      <c r="O27" s="13"/>
      <c r="P27" s="10" t="s">
        <v>280</v>
      </c>
      <c r="Q27" s="115" t="str">
        <f>IF($R26="","",D16)</f>
        <v/>
      </c>
      <c r="R27" s="115" t="str">
        <f>IF($R26="","",E16)</f>
        <v/>
      </c>
      <c r="S27" s="115" t="str">
        <f>IF($R26="","",F16)</f>
        <v/>
      </c>
      <c r="T27" s="10" t="s">
        <v>282</v>
      </c>
      <c r="U27" s="10"/>
      <c r="V27" s="115" t="str">
        <f>IF(OR(Q27="",Q25=""),"",IF(Q27&gt;Q25,2,IF(Q27=Q25,1,0)))</f>
        <v/>
      </c>
      <c r="X27">
        <v>14</v>
      </c>
      <c r="Y27" t="str">
        <f>IF(Q26="","",X27)</f>
        <v/>
      </c>
      <c r="AC27" s="12"/>
      <c r="AF27" s="8"/>
    </row>
    <row r="28" spans="1:35" ht="22.5" customHeight="1" thickBot="1" x14ac:dyDescent="0.3">
      <c r="B28" s="97" t="s">
        <v>138</v>
      </c>
      <c r="C28" s="110" t="str">
        <f>IF(D26&lt;10,"",'Calc Feuille de résultats'!L24)</f>
        <v/>
      </c>
      <c r="D28" s="169"/>
      <c r="E28" s="169"/>
      <c r="F28" s="169"/>
      <c r="G28" s="99" t="str">
        <f>IF(OR(D28="",E28=""),"",D28/E28)</f>
        <v/>
      </c>
      <c r="N28" t="str">
        <f t="shared" si="3"/>
        <v/>
      </c>
      <c r="X28">
        <v>15</v>
      </c>
      <c r="Y28" t="str">
        <f t="shared" si="4"/>
        <v/>
      </c>
      <c r="AB28" t="s">
        <v>295</v>
      </c>
      <c r="AC28" s="12" t="str">
        <f t="shared" ref="AC28:AF29" si="9">C28</f>
        <v/>
      </c>
      <c r="AD28">
        <f t="shared" si="9"/>
        <v>0</v>
      </c>
      <c r="AE28">
        <f t="shared" si="9"/>
        <v>0</v>
      </c>
      <c r="AF28" s="8">
        <f t="shared" si="9"/>
        <v>0</v>
      </c>
      <c r="AG28" t="str">
        <f>IF(AC28="","",IF($AD28&gt;$AD29,1,0))</f>
        <v/>
      </c>
      <c r="AH28" t="str">
        <f>IF(AC28="","",IF(AD28=AD29,1,0))</f>
        <v/>
      </c>
      <c r="AI28" t="str">
        <f>IF(AC28="","",IF(AD28&lt;AD29,1,0))</f>
        <v/>
      </c>
    </row>
    <row r="29" spans="1:35" ht="22.5" customHeight="1" thickBot="1" x14ac:dyDescent="0.3">
      <c r="B29" s="101" t="str">
        <f>B8</f>
        <v>2m80</v>
      </c>
      <c r="C29" s="111" t="str">
        <f>IF(D26&lt;10,"",'Calc Feuille de résultats'!L25)</f>
        <v/>
      </c>
      <c r="D29" s="170"/>
      <c r="E29" s="103" t="str">
        <f>IF(OR(D28="",E28=""),"",E28)</f>
        <v/>
      </c>
      <c r="F29" s="170"/>
      <c r="G29" s="104" t="str">
        <f>IF(OR(D29="",E29=""),"",D29/E29)</f>
        <v/>
      </c>
      <c r="N29" t="str">
        <f t="shared" si="3"/>
        <v/>
      </c>
      <c r="O29" s="100" t="s">
        <v>278</v>
      </c>
      <c r="P29" s="5" t="s">
        <v>279</v>
      </c>
      <c r="Q29" s="113" t="str">
        <f>IF(R29="","",VLOOKUP(R29,Listing!$X$3:$Y$176,2,0))</f>
        <v/>
      </c>
      <c r="R29" s="5" t="str">
        <f>C20</f>
        <v/>
      </c>
      <c r="S29" s="5"/>
      <c r="T29" s="5"/>
      <c r="U29" s="5"/>
      <c r="V29" s="16"/>
      <c r="X29">
        <v>16</v>
      </c>
      <c r="Y29" t="str">
        <f t="shared" si="4"/>
        <v/>
      </c>
      <c r="AC29" s="12" t="str">
        <f t="shared" si="9"/>
        <v/>
      </c>
      <c r="AD29">
        <f t="shared" si="9"/>
        <v>0</v>
      </c>
      <c r="AE29" t="str">
        <f t="shared" si="9"/>
        <v/>
      </c>
      <c r="AF29" s="8">
        <f t="shared" si="9"/>
        <v>0</v>
      </c>
      <c r="AG29" t="str">
        <f>IF(AC29="","",IF($AD29&gt;$AD28,1,0))</f>
        <v/>
      </c>
      <c r="AH29" t="str">
        <f>IF(AC29="","",IF(AD29=AD28,1,0))</f>
        <v/>
      </c>
      <c r="AI29" t="str">
        <f>IF(AC29="","",IF(AD29&lt;AD28,1,0))</f>
        <v/>
      </c>
    </row>
    <row r="30" spans="1:35" ht="15" customHeight="1" thickBot="1" x14ac:dyDescent="0.3">
      <c r="B30" s="1"/>
      <c r="G30" s="118"/>
      <c r="N30" t="str">
        <f t="shared" si="3"/>
        <v/>
      </c>
      <c r="O30" s="13"/>
      <c r="P30" s="10" t="s">
        <v>280</v>
      </c>
      <c r="Q30" s="114" t="str">
        <f>IF(D20="","",D20)</f>
        <v/>
      </c>
      <c r="R30" s="115">
        <f>E20</f>
        <v>0</v>
      </c>
      <c r="S30" s="116">
        <f>F20</f>
        <v>0</v>
      </c>
      <c r="T30" s="10" t="s">
        <v>282</v>
      </c>
      <c r="U30" s="10"/>
      <c r="V30" s="115" t="str">
        <f>IF(OR(Q30="",Q32=""),"",IF(Q30&gt;Q32,2,IF(Q30=Q32,1,0)))</f>
        <v/>
      </c>
      <c r="X30">
        <v>17</v>
      </c>
      <c r="Y30" t="str">
        <f>IF(Q29="","",X30)</f>
        <v/>
      </c>
      <c r="AC30" s="12"/>
      <c r="AF30" s="8"/>
    </row>
    <row r="31" spans="1:35" ht="15" customHeight="1" thickBot="1" x14ac:dyDescent="0.3">
      <c r="B31" s="1"/>
      <c r="C31" s="174">
        <f>IF(C32="","",$C$5)</f>
        <v>0</v>
      </c>
      <c r="D31" s="289" t="str">
        <f>IF(C32="","",$D$5)</f>
        <v/>
      </c>
      <c r="E31" s="289"/>
      <c r="F31" s="289"/>
      <c r="G31" s="118"/>
      <c r="N31" t="str">
        <f t="shared" si="3"/>
        <v/>
      </c>
      <c r="O31" s="100" t="s">
        <v>281</v>
      </c>
      <c r="P31" s="5" t="s">
        <v>279</v>
      </c>
      <c r="Q31" s="113" t="str">
        <f>IF(R31="","",VLOOKUP(R31,Listing!$X$3:$Y$176,2,0))</f>
        <v/>
      </c>
      <c r="R31" s="5" t="str">
        <f>C21</f>
        <v/>
      </c>
      <c r="S31" s="5"/>
      <c r="T31" s="5"/>
      <c r="U31" s="5"/>
      <c r="V31" s="16"/>
      <c r="X31">
        <v>18</v>
      </c>
      <c r="Y31" t="str">
        <f t="shared" si="4"/>
        <v/>
      </c>
      <c r="AC31" s="12" t="str">
        <f t="shared" ref="AC31:AF32" si="10">C41</f>
        <v/>
      </c>
      <c r="AD31">
        <f t="shared" si="10"/>
        <v>0</v>
      </c>
      <c r="AE31">
        <f t="shared" si="10"/>
        <v>0</v>
      </c>
      <c r="AF31" s="8">
        <f t="shared" si="10"/>
        <v>0</v>
      </c>
      <c r="AG31" t="str">
        <f>IF(AC31="","",IF($AD31&gt;$AD32,1,0))</f>
        <v/>
      </c>
      <c r="AH31" t="str">
        <f>IF(AC31="","",IF(AD31=AD32,1,0))</f>
        <v/>
      </c>
      <c r="AI31" t="str">
        <f>IF(AC31="","",IF(AD31&lt;AD32,1,0))</f>
        <v/>
      </c>
    </row>
    <row r="32" spans="1:35" ht="19.5" customHeight="1" thickBot="1" x14ac:dyDescent="0.3">
      <c r="B32" s="93" t="str">
        <f>'Calc Feuille de résultats'!U6</f>
        <v>POULE 3</v>
      </c>
      <c r="C32" s="108" t="str">
        <f>'Calc Feuille de résultats'!V5</f>
        <v>Match 1</v>
      </c>
      <c r="D32" s="95" t="s">
        <v>139</v>
      </c>
      <c r="E32" s="95" t="s">
        <v>140</v>
      </c>
      <c r="F32" s="95" t="s">
        <v>141</v>
      </c>
      <c r="G32" s="109" t="s">
        <v>142</v>
      </c>
      <c r="N32" t="str">
        <f t="shared" si="3"/>
        <v/>
      </c>
      <c r="O32" s="13"/>
      <c r="P32" s="10" t="s">
        <v>280</v>
      </c>
      <c r="Q32" s="115" t="str">
        <f>IF(D21="","",D21)</f>
        <v/>
      </c>
      <c r="R32" s="116" t="str">
        <f>E21</f>
        <v/>
      </c>
      <c r="S32" s="115">
        <f>F21</f>
        <v>0</v>
      </c>
      <c r="T32" s="10" t="s">
        <v>282</v>
      </c>
      <c r="U32" s="10"/>
      <c r="V32" s="115" t="str">
        <f>IF(OR(Q32="",Q30=""),"",IF(Q32&gt;Q30,2,IF(Q32=Q30,1,0)))</f>
        <v/>
      </c>
      <c r="X32">
        <v>19</v>
      </c>
      <c r="Y32" t="str">
        <f>IF(Q31="","",X32)</f>
        <v/>
      </c>
      <c r="AC32" s="13" t="str">
        <f t="shared" si="10"/>
        <v/>
      </c>
      <c r="AD32" s="10">
        <f t="shared" si="10"/>
        <v>0</v>
      </c>
      <c r="AE32" s="10" t="str">
        <f t="shared" si="10"/>
        <v/>
      </c>
      <c r="AF32" s="11">
        <f t="shared" si="10"/>
        <v>0</v>
      </c>
      <c r="AG32" t="str">
        <f>IF(AC32="","",IF($AD32&gt;$AD31,1,0))</f>
        <v/>
      </c>
      <c r="AH32" t="str">
        <f>IF(AC32="","",IF(AD32=AD31,1,0))</f>
        <v/>
      </c>
      <c r="AI32" t="str">
        <f>IF(AC32="","",IF(AD32&lt;AD31,1,0))</f>
        <v/>
      </c>
    </row>
    <row r="33" spans="2:38" ht="22.5" customHeight="1" thickBot="1" x14ac:dyDescent="0.3">
      <c r="B33" s="97" t="s">
        <v>138</v>
      </c>
      <c r="C33" s="98" t="str">
        <f>IFERROR('Calc Feuille de résultats'!V6,"")</f>
        <v/>
      </c>
      <c r="D33" s="169"/>
      <c r="E33" s="169"/>
      <c r="F33" s="169"/>
      <c r="G33" s="99" t="str">
        <f>IF(OR(D33="",E33=""),"",D33/E33)</f>
        <v/>
      </c>
      <c r="N33" t="str">
        <f t="shared" si="3"/>
        <v/>
      </c>
      <c r="X33">
        <v>20</v>
      </c>
      <c r="Y33" t="str">
        <f t="shared" si="4"/>
        <v/>
      </c>
      <c r="AJ33">
        <v>9</v>
      </c>
      <c r="AK33">
        <v>10</v>
      </c>
      <c r="AL33">
        <v>11</v>
      </c>
    </row>
    <row r="34" spans="2:38" ht="22.5" customHeight="1" thickBot="1" x14ac:dyDescent="0.3">
      <c r="B34" s="101" t="str">
        <f>B8</f>
        <v>2m80</v>
      </c>
      <c r="C34" s="102" t="str">
        <f>IFERROR('Calc Feuille de résultats'!V7,"")</f>
        <v/>
      </c>
      <c r="D34" s="170"/>
      <c r="E34" s="103" t="str">
        <f>IF(OR(D33="",E33=""),"",E33)</f>
        <v/>
      </c>
      <c r="F34" s="170"/>
      <c r="G34" s="104" t="str">
        <f>IF(OR(D34="",E34=""),"",D34/E34)</f>
        <v/>
      </c>
      <c r="N34" t="str">
        <f t="shared" si="3"/>
        <v/>
      </c>
      <c r="O34" s="100" t="s">
        <v>278</v>
      </c>
      <c r="P34" s="5" t="s">
        <v>279</v>
      </c>
      <c r="Q34" s="113" t="str">
        <f>IF(R34="","",VLOOKUP(R34,Listing!$X$3:$Y$176,2,0))</f>
        <v/>
      </c>
      <c r="R34" s="5" t="str">
        <f>C24</f>
        <v/>
      </c>
      <c r="S34" s="5"/>
      <c r="T34" s="5"/>
      <c r="U34" s="5"/>
      <c r="V34" s="16"/>
      <c r="X34">
        <v>21</v>
      </c>
      <c r="Y34" t="str">
        <f t="shared" si="4"/>
        <v/>
      </c>
      <c r="AB34" s="119" t="str">
        <f>'CLASSEMENT FINAL'!C7</f>
        <v/>
      </c>
      <c r="AC34" t="str">
        <f>IFERROR(VLOOKUP($AB34,$AC$7:$AI$14,AC$6,0),"")</f>
        <v/>
      </c>
      <c r="AD34">
        <f t="shared" ref="AD34:AI34" si="11">IFERROR(VLOOKUP($AB34,$AC$7:$AI$14,AD$6,0),"")</f>
        <v>0</v>
      </c>
      <c r="AE34">
        <f t="shared" si="11"/>
        <v>0</v>
      </c>
      <c r="AF34">
        <f t="shared" si="11"/>
        <v>0</v>
      </c>
      <c r="AG34" t="str">
        <f t="shared" si="11"/>
        <v/>
      </c>
      <c r="AH34" t="str">
        <f t="shared" si="11"/>
        <v/>
      </c>
      <c r="AI34" t="str">
        <f t="shared" si="11"/>
        <v/>
      </c>
      <c r="AJ34" s="119">
        <f>SUM(AG34:AG36)</f>
        <v>0</v>
      </c>
      <c r="AK34" s="119">
        <f>SUM(AH34:AH36)</f>
        <v>0</v>
      </c>
      <c r="AL34" s="119">
        <f>SUM(AI34:AI36)</f>
        <v>0</v>
      </c>
    </row>
    <row r="35" spans="2:38" ht="3.75" customHeight="1" thickBot="1" x14ac:dyDescent="0.3">
      <c r="B35" s="105"/>
      <c r="C35" s="105"/>
      <c r="D35" s="152">
        <f>COUNTA(D33:F34)-1</f>
        <v>0</v>
      </c>
      <c r="E35" s="105"/>
      <c r="F35" s="105"/>
      <c r="G35" s="106"/>
      <c r="N35" t="str">
        <f t="shared" si="3"/>
        <v/>
      </c>
      <c r="O35" s="13"/>
      <c r="P35" s="10" t="s">
        <v>280</v>
      </c>
      <c r="Q35" s="115" t="str">
        <f>IF(D24="","",D24)</f>
        <v/>
      </c>
      <c r="R35" s="115">
        <f>E24</f>
        <v>0</v>
      </c>
      <c r="S35" s="116">
        <f>F24</f>
        <v>0</v>
      </c>
      <c r="T35" s="10" t="s">
        <v>282</v>
      </c>
      <c r="U35" s="10"/>
      <c r="V35" s="115" t="str">
        <f>IF(OR(Q35="",Q37=""),"",IF(Q35&gt;Q37,2,IF(Q35=Q37,1,0)))</f>
        <v/>
      </c>
      <c r="X35">
        <v>22</v>
      </c>
      <c r="Y35" t="str">
        <f>IF(Q34="","",X35)</f>
        <v/>
      </c>
      <c r="AC35" t="str">
        <f>IFERROR(VLOOKUP($AB34,$AC$16:$AI$23,AC$6,0),"")</f>
        <v/>
      </c>
      <c r="AD35">
        <f t="shared" ref="AD35:AI35" si="12">IFERROR(VLOOKUP($AB34,$AC$16:$AI$23,AD$6,0),"")</f>
        <v>0</v>
      </c>
      <c r="AE35">
        <f t="shared" si="12"/>
        <v>0</v>
      </c>
      <c r="AF35">
        <f t="shared" si="12"/>
        <v>0</v>
      </c>
      <c r="AG35" t="str">
        <f t="shared" si="12"/>
        <v/>
      </c>
      <c r="AH35" t="str">
        <f t="shared" si="12"/>
        <v/>
      </c>
      <c r="AI35" t="str">
        <f t="shared" si="12"/>
        <v/>
      </c>
    </row>
    <row r="36" spans="2:38" ht="19.5" customHeight="1" thickBot="1" x14ac:dyDescent="0.3">
      <c r="B36" s="93" t="str">
        <f>B32</f>
        <v>POULE 3</v>
      </c>
      <c r="C36" s="108" t="str">
        <f>'Calc Feuille de résultats'!V14</f>
        <v>Match 2</v>
      </c>
      <c r="D36" s="95" t="s">
        <v>139</v>
      </c>
      <c r="E36" s="95" t="s">
        <v>140</v>
      </c>
      <c r="F36" s="95" t="s">
        <v>141</v>
      </c>
      <c r="G36" s="109" t="s">
        <v>142</v>
      </c>
      <c r="N36" t="str">
        <f t="shared" si="3"/>
        <v/>
      </c>
      <c r="O36" s="100" t="s">
        <v>281</v>
      </c>
      <c r="P36" s="5" t="s">
        <v>279</v>
      </c>
      <c r="Q36" s="113" t="str">
        <f>IF(R36="","",VLOOKUP(R36,Listing!$X$3:$Y$176,2,0))</f>
        <v/>
      </c>
      <c r="R36" s="5" t="str">
        <f>C25</f>
        <v/>
      </c>
      <c r="S36" s="5"/>
      <c r="T36" s="5"/>
      <c r="U36" s="5"/>
      <c r="V36" s="16"/>
      <c r="X36">
        <v>23</v>
      </c>
      <c r="Y36" t="str">
        <f t="shared" si="4"/>
        <v/>
      </c>
      <c r="AC36" t="str">
        <f>IFERROR(VLOOKUP($AB34,$AC$25:$AI$32,AC$6,0),"")</f>
        <v/>
      </c>
      <c r="AD36">
        <f t="shared" ref="AD36:AI36" si="13">IFERROR(VLOOKUP($AB34,$AC$25:$AI$32,AD$6,0),"")</f>
        <v>0</v>
      </c>
      <c r="AE36">
        <f t="shared" si="13"/>
        <v>0</v>
      </c>
      <c r="AF36">
        <f t="shared" si="13"/>
        <v>0</v>
      </c>
      <c r="AG36" t="str">
        <f t="shared" si="13"/>
        <v/>
      </c>
      <c r="AH36" t="str">
        <f t="shared" si="13"/>
        <v/>
      </c>
      <c r="AI36" t="str">
        <f t="shared" si="13"/>
        <v/>
      </c>
    </row>
    <row r="37" spans="2:38" ht="22.5" customHeight="1" thickBot="1" x14ac:dyDescent="0.3">
      <c r="B37" s="97" t="s">
        <v>138</v>
      </c>
      <c r="C37" s="110" t="str">
        <f>IF(D35&lt;5,"",'Calc Feuille de résultats'!V15)</f>
        <v/>
      </c>
      <c r="D37" s="169"/>
      <c r="E37" s="169"/>
      <c r="F37" s="169"/>
      <c r="G37" s="99" t="str">
        <f>IF(OR(D37="",E37=""),"",D37/E37)</f>
        <v/>
      </c>
      <c r="N37" t="str">
        <f t="shared" si="3"/>
        <v/>
      </c>
      <c r="O37" s="13"/>
      <c r="P37" s="10" t="s">
        <v>280</v>
      </c>
      <c r="Q37" s="115" t="str">
        <f>IF(D25="","",D25)</f>
        <v/>
      </c>
      <c r="R37" s="116" t="str">
        <f>E25</f>
        <v/>
      </c>
      <c r="S37" s="115">
        <f>F25</f>
        <v>0</v>
      </c>
      <c r="T37" s="10" t="s">
        <v>282</v>
      </c>
      <c r="U37" s="10"/>
      <c r="V37" s="115" t="str">
        <f>IF(OR(Q37="",Q35=""),"",IF(Q37&gt;Q35,2,IF(Q37=Q35,1,0)))</f>
        <v/>
      </c>
      <c r="X37">
        <v>24</v>
      </c>
      <c r="Y37" t="str">
        <f>IF(Q36="","",X37)</f>
        <v/>
      </c>
      <c r="AB37" s="119" t="str">
        <f>'CLASSEMENT FINAL'!C8</f>
        <v/>
      </c>
      <c r="AC37" t="str">
        <f>IFERROR(VLOOKUP($AB37,$AC$7:$AI$14,AC$6,0),"")</f>
        <v/>
      </c>
      <c r="AD37">
        <f t="shared" ref="AD37:AI37" si="14">IFERROR(VLOOKUP($AB37,$AC$7:$AI$14,AD$6,0),"")</f>
        <v>0</v>
      </c>
      <c r="AE37">
        <f t="shared" si="14"/>
        <v>0</v>
      </c>
      <c r="AF37">
        <f t="shared" si="14"/>
        <v>0</v>
      </c>
      <c r="AG37" t="str">
        <f t="shared" si="14"/>
        <v/>
      </c>
      <c r="AH37" t="str">
        <f t="shared" si="14"/>
        <v/>
      </c>
      <c r="AI37" t="str">
        <f t="shared" si="14"/>
        <v/>
      </c>
      <c r="AJ37" s="119">
        <f>SUM(AG37:AG39)</f>
        <v>0</v>
      </c>
      <c r="AK37" s="119">
        <f>SUM(AH37:AH39)</f>
        <v>0</v>
      </c>
      <c r="AL37" s="119">
        <f>SUM(AI37:AI39)</f>
        <v>0</v>
      </c>
    </row>
    <row r="38" spans="2:38" ht="22.5" customHeight="1" thickBot="1" x14ac:dyDescent="0.3">
      <c r="B38" s="101" t="str">
        <f>B8</f>
        <v>2m80</v>
      </c>
      <c r="C38" s="111" t="str">
        <f>IF(D35&lt;5,"",'Calc Feuille de résultats'!V16)</f>
        <v/>
      </c>
      <c r="D38" s="170"/>
      <c r="E38" s="103" t="str">
        <f>IF(OR(D37="",E37=""),"",E37)</f>
        <v/>
      </c>
      <c r="F38" s="170"/>
      <c r="G38" s="104" t="str">
        <f>IF(OR(D38="",E38=""),"",D38/E38)</f>
        <v/>
      </c>
      <c r="N38" t="str">
        <f t="shared" si="3"/>
        <v/>
      </c>
      <c r="X38">
        <v>25</v>
      </c>
      <c r="Y38" t="str">
        <f t="shared" si="4"/>
        <v/>
      </c>
      <c r="AC38" t="str">
        <f>IFERROR(VLOOKUP($AB37,$AC$16:$AI$23,AC$6,0),"")</f>
        <v/>
      </c>
      <c r="AD38">
        <f t="shared" ref="AD38" si="15">IFERROR(VLOOKUP($AB37,$AC$16:$AI$23,AD$6,0),"")</f>
        <v>0</v>
      </c>
      <c r="AE38">
        <f t="shared" ref="AE38" si="16">IFERROR(VLOOKUP($AB37,$AC$16:$AI$23,AE$6,0),"")</f>
        <v>0</v>
      </c>
      <c r="AF38">
        <f t="shared" ref="AF38" si="17">IFERROR(VLOOKUP($AB37,$AC$16:$AI$23,AF$6,0),"")</f>
        <v>0</v>
      </c>
      <c r="AG38" t="str">
        <f t="shared" ref="AG38" si="18">IFERROR(VLOOKUP($AB37,$AC$16:$AI$23,AG$6,0),"")</f>
        <v/>
      </c>
      <c r="AH38" t="str">
        <f t="shared" ref="AH38" si="19">IFERROR(VLOOKUP($AB37,$AC$16:$AI$23,AH$6,0),"")</f>
        <v/>
      </c>
      <c r="AI38" t="str">
        <f t="shared" ref="AI38" si="20">IFERROR(VLOOKUP($AB37,$AC$16:$AI$23,AI$6,0),"")</f>
        <v/>
      </c>
    </row>
    <row r="39" spans="2:38" ht="3.75" customHeight="1" thickBot="1" x14ac:dyDescent="0.3">
      <c r="B39" s="105"/>
      <c r="C39" s="105"/>
      <c r="D39" s="152">
        <f>COUNTA(D37:F38)+D35-1</f>
        <v>0</v>
      </c>
      <c r="E39" s="91"/>
      <c r="F39" s="105"/>
      <c r="G39" s="106"/>
      <c r="N39" t="str">
        <f t="shared" si="3"/>
        <v/>
      </c>
      <c r="O39" s="100" t="s">
        <v>278</v>
      </c>
      <c r="P39" s="5" t="s">
        <v>279</v>
      </c>
      <c r="Q39" s="113" t="str">
        <f>IF(R39="","",VLOOKUP(R39,Listing!$X$3:$Y$176,2,0))</f>
        <v/>
      </c>
      <c r="R39" s="5" t="str">
        <f>C28</f>
        <v/>
      </c>
      <c r="S39" s="5"/>
      <c r="T39" s="5"/>
      <c r="U39" s="5"/>
      <c r="V39" s="16"/>
      <c r="X39">
        <v>26</v>
      </c>
      <c r="Y39" t="str">
        <f>IF(Q39="","",X39)</f>
        <v/>
      </c>
      <c r="AC39" t="str">
        <f>IFERROR(VLOOKUP($AB37,$AC$25:$AI$32,AC$6,0),"")</f>
        <v/>
      </c>
      <c r="AD39">
        <f t="shared" ref="AD39:AI39" si="21">IFERROR(VLOOKUP($AB37,$AC$25:$AI$32,AD$6,0),"")</f>
        <v>0</v>
      </c>
      <c r="AE39">
        <f t="shared" si="21"/>
        <v>0</v>
      </c>
      <c r="AF39">
        <f t="shared" si="21"/>
        <v>0</v>
      </c>
      <c r="AG39" t="str">
        <f t="shared" si="21"/>
        <v/>
      </c>
      <c r="AH39" t="str">
        <f t="shared" si="21"/>
        <v/>
      </c>
      <c r="AI39" t="str">
        <f t="shared" si="21"/>
        <v/>
      </c>
    </row>
    <row r="40" spans="2:38" ht="19.5" customHeight="1" thickBot="1" x14ac:dyDescent="0.3">
      <c r="B40" s="93" t="str">
        <f>B32</f>
        <v>POULE 3</v>
      </c>
      <c r="C40" s="108" t="str">
        <f>'Calc Feuille de résultats'!V23</f>
        <v>Match 3</v>
      </c>
      <c r="D40" s="95" t="s">
        <v>139</v>
      </c>
      <c r="E40" s="95" t="s">
        <v>140</v>
      </c>
      <c r="F40" s="95" t="s">
        <v>141</v>
      </c>
      <c r="G40" s="109" t="s">
        <v>142</v>
      </c>
      <c r="N40" t="str">
        <f t="shared" si="3"/>
        <v/>
      </c>
      <c r="O40" s="13"/>
      <c r="P40" s="10" t="s">
        <v>280</v>
      </c>
      <c r="Q40" s="115" t="str">
        <f>IF($R39="","",D28)</f>
        <v/>
      </c>
      <c r="R40" s="115" t="str">
        <f>IF($R39="","",E28)</f>
        <v/>
      </c>
      <c r="S40" s="115" t="str">
        <f>IF($R39="","",F28)</f>
        <v/>
      </c>
      <c r="T40" s="10" t="s">
        <v>282</v>
      </c>
      <c r="U40" s="10"/>
      <c r="V40" s="115" t="str">
        <f>IF(OR(Q40="",Q42=""),"",IF(Q40&gt;Q42,2,IF(Q40=Q42,1,0)))</f>
        <v/>
      </c>
      <c r="X40">
        <v>27</v>
      </c>
      <c r="Y40" t="str">
        <f>IF(Q39="","",X40)</f>
        <v/>
      </c>
      <c r="AB40" s="119" t="str">
        <f>'CLASSEMENT FINAL'!C9</f>
        <v/>
      </c>
      <c r="AC40" t="str">
        <f>IFERROR(VLOOKUP($AB40,$AC$7:$AI$14,AC$6,0),"")</f>
        <v/>
      </c>
      <c r="AD40">
        <f t="shared" ref="AD40:AI40" si="22">IFERROR(VLOOKUP($AB40,$AC$7:$AI$14,AD$6,0),"")</f>
        <v>0</v>
      </c>
      <c r="AE40">
        <f t="shared" si="22"/>
        <v>0</v>
      </c>
      <c r="AF40">
        <f t="shared" si="22"/>
        <v>0</v>
      </c>
      <c r="AG40" t="str">
        <f t="shared" si="22"/>
        <v/>
      </c>
      <c r="AH40" t="str">
        <f t="shared" si="22"/>
        <v/>
      </c>
      <c r="AI40" t="str">
        <f t="shared" si="22"/>
        <v/>
      </c>
      <c r="AJ40" s="119">
        <f>SUM(AG40:AG42)</f>
        <v>0</v>
      </c>
      <c r="AK40" s="119">
        <f>SUM(AH40:AH42)</f>
        <v>0</v>
      </c>
      <c r="AL40" s="119">
        <f>SUM(AI40:AI42)</f>
        <v>0</v>
      </c>
    </row>
    <row r="41" spans="2:38" ht="22.5" customHeight="1" thickBot="1" x14ac:dyDescent="0.3">
      <c r="B41" s="97" t="s">
        <v>138</v>
      </c>
      <c r="C41" s="110" t="str">
        <f>IF(D39&lt;10,"",'Calc Feuille de résultats'!V24)</f>
        <v/>
      </c>
      <c r="D41" s="169"/>
      <c r="E41" s="169"/>
      <c r="F41" s="169"/>
      <c r="G41" s="99" t="str">
        <f>IF(OR(D41="",E41=""),"",D41/E41)</f>
        <v/>
      </c>
      <c r="N41" t="str">
        <f t="shared" si="3"/>
        <v/>
      </c>
      <c r="O41" s="100" t="s">
        <v>281</v>
      </c>
      <c r="P41" s="5" t="s">
        <v>279</v>
      </c>
      <c r="Q41" s="113" t="str">
        <f>IF(R41="","",VLOOKUP(R41,Listing!$X$3:$Y$176,2,0))</f>
        <v/>
      </c>
      <c r="R41" s="5" t="str">
        <f>C29</f>
        <v/>
      </c>
      <c r="S41" s="5"/>
      <c r="T41" s="5"/>
      <c r="U41" s="5"/>
      <c r="V41" s="16"/>
      <c r="X41">
        <v>28</v>
      </c>
      <c r="Y41" t="str">
        <f t="shared" si="4"/>
        <v/>
      </c>
      <c r="AC41" t="str">
        <f>IFERROR(VLOOKUP($AB40,$AC$16:$AI$23,AC$6,0),"")</f>
        <v/>
      </c>
      <c r="AD41">
        <f t="shared" ref="AD41" si="23">IFERROR(VLOOKUP($AB40,$AC$16:$AI$23,AD$6,0),"")</f>
        <v>0</v>
      </c>
      <c r="AE41">
        <f t="shared" ref="AE41" si="24">IFERROR(VLOOKUP($AB40,$AC$16:$AI$23,AE$6,0),"")</f>
        <v>0</v>
      </c>
      <c r="AF41">
        <f t="shared" ref="AF41" si="25">IFERROR(VLOOKUP($AB40,$AC$16:$AI$23,AF$6,0),"")</f>
        <v>0</v>
      </c>
      <c r="AG41" t="str">
        <f t="shared" ref="AG41" si="26">IFERROR(VLOOKUP($AB40,$AC$16:$AI$23,AG$6,0),"")</f>
        <v/>
      </c>
      <c r="AH41" t="str">
        <f t="shared" ref="AH41" si="27">IFERROR(VLOOKUP($AB40,$AC$16:$AI$23,AH$6,0),"")</f>
        <v/>
      </c>
      <c r="AI41" t="str">
        <f t="shared" ref="AI41" si="28">IFERROR(VLOOKUP($AB40,$AC$16:$AI$23,AI$6,0),"")</f>
        <v/>
      </c>
    </row>
    <row r="42" spans="2:38" ht="22.5" customHeight="1" thickBot="1" x14ac:dyDescent="0.3">
      <c r="B42" s="101" t="str">
        <f>B8</f>
        <v>2m80</v>
      </c>
      <c r="C42" s="111" t="str">
        <f>IF(D39&lt;10,"",'Calc Feuille de résultats'!V25)</f>
        <v/>
      </c>
      <c r="D42" s="170"/>
      <c r="E42" s="103" t="str">
        <f>IF(OR(D41="",E41=""),"",E41)</f>
        <v/>
      </c>
      <c r="F42" s="170"/>
      <c r="G42" s="104" t="str">
        <f>IF(OR(D42="",E42=""),"",D42/E42)</f>
        <v/>
      </c>
      <c r="N42" t="str">
        <f t="shared" si="3"/>
        <v/>
      </c>
      <c r="O42" s="13"/>
      <c r="P42" s="10" t="s">
        <v>280</v>
      </c>
      <c r="Q42" s="115" t="str">
        <f>IF($R41="","",D29)</f>
        <v/>
      </c>
      <c r="R42" s="115" t="str">
        <f>IF($R41="","",E29)</f>
        <v/>
      </c>
      <c r="S42" s="115" t="str">
        <f>IF($R41="","",F29)</f>
        <v/>
      </c>
      <c r="T42" s="10" t="s">
        <v>282</v>
      </c>
      <c r="U42" s="10"/>
      <c r="V42" s="115" t="str">
        <f>IF(OR(Q42="",Q40=""),"",IF(Q42&gt;Q40,2,IF(Q42=Q40,1,0)))</f>
        <v/>
      </c>
      <c r="X42">
        <v>29</v>
      </c>
      <c r="Y42" t="str">
        <f>IF(Q41="","",X42)</f>
        <v/>
      </c>
      <c r="AC42" t="str">
        <f>IFERROR(VLOOKUP($AB40,$AC$25:$AI$32,AC$6,0),"")</f>
        <v/>
      </c>
      <c r="AD42">
        <f t="shared" ref="AD42:AI42" si="29">IFERROR(VLOOKUP($AB40,$AC$25:$AI$32,AD$6,0),"")</f>
        <v>0</v>
      </c>
      <c r="AE42">
        <f t="shared" si="29"/>
        <v>0</v>
      </c>
      <c r="AF42">
        <f t="shared" si="29"/>
        <v>0</v>
      </c>
      <c r="AG42" t="str">
        <f t="shared" si="29"/>
        <v/>
      </c>
      <c r="AH42" t="str">
        <f t="shared" si="29"/>
        <v/>
      </c>
      <c r="AI42" t="str">
        <f t="shared" si="29"/>
        <v/>
      </c>
    </row>
    <row r="43" spans="2:38" ht="15" customHeight="1" thickBot="1" x14ac:dyDescent="0.3">
      <c r="N43" t="str">
        <f t="shared" si="3"/>
        <v/>
      </c>
      <c r="X43">
        <v>30</v>
      </c>
      <c r="Y43" t="str">
        <f t="shared" si="4"/>
        <v/>
      </c>
      <c r="AB43" s="119" t="str">
        <f>'CLASSEMENT FINAL'!C10</f>
        <v/>
      </c>
      <c r="AC43" t="str">
        <f>IFERROR(VLOOKUP($AB43,$AC$7:$AI$14,AC$6,0),"")</f>
        <v/>
      </c>
      <c r="AD43">
        <f t="shared" ref="AD43:AI43" si="30">IFERROR(VLOOKUP($AB43,$AC$7:$AI$14,AD$6,0),"")</f>
        <v>0</v>
      </c>
      <c r="AE43">
        <f t="shared" si="30"/>
        <v>0</v>
      </c>
      <c r="AF43">
        <f t="shared" si="30"/>
        <v>0</v>
      </c>
      <c r="AG43" t="str">
        <f t="shared" si="30"/>
        <v/>
      </c>
      <c r="AH43" t="str">
        <f t="shared" si="30"/>
        <v/>
      </c>
      <c r="AI43" t="str">
        <f t="shared" si="30"/>
        <v/>
      </c>
      <c r="AJ43" s="119">
        <f>SUM(AG43:AG45)</f>
        <v>0</v>
      </c>
      <c r="AK43" s="119">
        <f>SUM(AH43:AH45)</f>
        <v>0</v>
      </c>
      <c r="AL43" s="119">
        <f>SUM(AI43:AI45)</f>
        <v>0</v>
      </c>
    </row>
    <row r="44" spans="2:38" ht="15" customHeight="1" thickBot="1" x14ac:dyDescent="0.3">
      <c r="N44" t="str">
        <f>IFERROR(RANK(Y44,$Y$14:$Y$57,1),"")</f>
        <v/>
      </c>
      <c r="O44" s="100" t="s">
        <v>278</v>
      </c>
      <c r="P44" s="5" t="s">
        <v>279</v>
      </c>
      <c r="Q44" s="113" t="str">
        <f>IF(R44="","",VLOOKUP(R44,Listing!$X$3:$Y$176,2,0))</f>
        <v/>
      </c>
      <c r="R44" s="100" t="str">
        <f>C33</f>
        <v/>
      </c>
      <c r="S44" s="5"/>
      <c r="T44" s="5"/>
      <c r="U44" s="5"/>
      <c r="V44" s="16"/>
      <c r="X44">
        <v>31</v>
      </c>
      <c r="Y44" t="str">
        <f t="shared" si="4"/>
        <v/>
      </c>
      <c r="AC44" t="str">
        <f>IFERROR(VLOOKUP($AB43,$AC$16:$AI$23,AC$6,0),"")</f>
        <v/>
      </c>
      <c r="AD44">
        <f t="shared" ref="AD44" si="31">IFERROR(VLOOKUP($AB43,$AC$16:$AI$23,AD$6,0),"")</f>
        <v>0</v>
      </c>
      <c r="AE44">
        <f t="shared" ref="AE44" si="32">IFERROR(VLOOKUP($AB43,$AC$16:$AI$23,AE$6,0),"")</f>
        <v>0</v>
      </c>
      <c r="AF44">
        <f t="shared" ref="AF44" si="33">IFERROR(VLOOKUP($AB43,$AC$16:$AI$23,AF$6,0),"")</f>
        <v>0</v>
      </c>
      <c r="AG44" t="str">
        <f t="shared" ref="AG44" si="34">IFERROR(VLOOKUP($AB43,$AC$16:$AI$23,AG$6,0),"")</f>
        <v/>
      </c>
      <c r="AH44" t="str">
        <f t="shared" ref="AH44" si="35">IFERROR(VLOOKUP($AB43,$AC$16:$AI$23,AH$6,0),"")</f>
        <v/>
      </c>
      <c r="AI44" t="str">
        <f t="shared" ref="AI44" si="36">IFERROR(VLOOKUP($AB43,$AC$16:$AI$23,AI$6,0),"")</f>
        <v/>
      </c>
    </row>
    <row r="45" spans="2:38" ht="15" customHeight="1" thickBot="1" x14ac:dyDescent="0.3">
      <c r="C45" s="3"/>
      <c r="D45" s="3"/>
      <c r="E45" s="3"/>
      <c r="F45" s="3"/>
      <c r="G45" s="3"/>
      <c r="H45" s="120"/>
      <c r="N45" t="str">
        <f>IFERROR(RANK(Y45,$Y$14:$Y$57,1),"")</f>
        <v/>
      </c>
      <c r="O45" s="13"/>
      <c r="P45" s="10" t="s">
        <v>280</v>
      </c>
      <c r="Q45" s="114" t="str">
        <f>IF(D33="","",D33)</f>
        <v/>
      </c>
      <c r="R45" s="115" t="str">
        <f>IF(E33="","",E33)</f>
        <v/>
      </c>
      <c r="S45" s="116" t="str">
        <f>IF(F33="","",F33)</f>
        <v/>
      </c>
      <c r="T45" s="10" t="s">
        <v>282</v>
      </c>
      <c r="U45" s="10"/>
      <c r="V45" s="115" t="str">
        <f>IF(OR(Q45="",Q47=""),"",IF(Q45&gt;Q47,2,IF(Q45=Q47,1,0)))</f>
        <v/>
      </c>
      <c r="X45">
        <v>32</v>
      </c>
      <c r="Y45" t="str">
        <f>IF(Q44="","",X45)</f>
        <v/>
      </c>
      <c r="AC45" t="str">
        <f>IFERROR(VLOOKUP($AB43,$AC$25:$AI$32,AC$6,0),"")</f>
        <v/>
      </c>
      <c r="AD45">
        <f t="shared" ref="AD45:AI45" si="37">IFERROR(VLOOKUP($AB43,$AC$25:$AI$32,AD$6,0),"")</f>
        <v>0</v>
      </c>
      <c r="AE45">
        <f t="shared" si="37"/>
        <v>0</v>
      </c>
      <c r="AF45">
        <f t="shared" si="37"/>
        <v>0</v>
      </c>
      <c r="AG45" t="str">
        <f t="shared" si="37"/>
        <v/>
      </c>
      <c r="AH45" t="str">
        <f t="shared" si="37"/>
        <v/>
      </c>
      <c r="AI45" t="str">
        <f t="shared" si="37"/>
        <v/>
      </c>
    </row>
    <row r="46" spans="2:38" ht="15" customHeight="1" thickBot="1" x14ac:dyDescent="0.3">
      <c r="C46" s="3"/>
      <c r="D46" s="3"/>
      <c r="E46" s="3"/>
      <c r="F46" s="3"/>
      <c r="G46" s="3"/>
      <c r="H46" s="120"/>
      <c r="N46" t="str">
        <f t="shared" si="3"/>
        <v/>
      </c>
      <c r="O46" s="100" t="s">
        <v>281</v>
      </c>
      <c r="P46" s="5" t="s">
        <v>279</v>
      </c>
      <c r="Q46" s="113" t="str">
        <f>IF(R46="","",VLOOKUP(R46,Listing!$X$3:$Y$176,2,0))</f>
        <v/>
      </c>
      <c r="R46" s="100" t="str">
        <f>C34</f>
        <v/>
      </c>
      <c r="S46" s="5"/>
      <c r="T46" s="5"/>
      <c r="U46" s="5"/>
      <c r="V46" s="16"/>
      <c r="X46">
        <v>33</v>
      </c>
      <c r="Y46" t="str">
        <f t="shared" si="4"/>
        <v/>
      </c>
      <c r="AB46" s="119" t="str">
        <f>'CLASSEMENT FINAL'!C11</f>
        <v/>
      </c>
      <c r="AC46" t="str">
        <f>IFERROR(VLOOKUP($AB46,$AC$7:$AI$14,AC$6,0),"")</f>
        <v/>
      </c>
      <c r="AD46">
        <f t="shared" ref="AD46:AI46" si="38">IFERROR(VLOOKUP($AB46,$AC$7:$AI$14,AD$6,0),"")</f>
        <v>0</v>
      </c>
      <c r="AE46">
        <f t="shared" si="38"/>
        <v>0</v>
      </c>
      <c r="AF46">
        <f t="shared" si="38"/>
        <v>0</v>
      </c>
      <c r="AG46" t="str">
        <f t="shared" si="38"/>
        <v/>
      </c>
      <c r="AH46" t="str">
        <f t="shared" si="38"/>
        <v/>
      </c>
      <c r="AI46" t="str">
        <f t="shared" si="38"/>
        <v/>
      </c>
      <c r="AJ46" s="119">
        <f>SUM(AG46:AG48)</f>
        <v>0</v>
      </c>
      <c r="AK46" s="119">
        <f>SUM(AH46:AH48)</f>
        <v>0</v>
      </c>
      <c r="AL46" s="119">
        <f>SUM(AI46:AI48)</f>
        <v>0</v>
      </c>
    </row>
    <row r="47" spans="2:38" ht="15" customHeight="1" thickBot="1" x14ac:dyDescent="0.3">
      <c r="C47" s="3"/>
      <c r="D47" s="3"/>
      <c r="E47" s="3"/>
      <c r="F47" s="3"/>
      <c r="G47" s="3"/>
      <c r="H47" s="120"/>
      <c r="N47" t="str">
        <f t="shared" si="3"/>
        <v/>
      </c>
      <c r="O47" s="13"/>
      <c r="P47" s="10" t="s">
        <v>280</v>
      </c>
      <c r="Q47" s="115" t="str">
        <f>IF(D34="","",D34)</f>
        <v/>
      </c>
      <c r="R47" s="116" t="str">
        <f>IF(E34="","",E34)</f>
        <v/>
      </c>
      <c r="S47" s="115" t="str">
        <f>IF(F34="","",F34)</f>
        <v/>
      </c>
      <c r="T47" s="10" t="s">
        <v>282</v>
      </c>
      <c r="U47" s="10"/>
      <c r="V47" s="115" t="str">
        <f>IF(OR(Q47="",Q45=""),"",IF(Q47&gt;Q45,2,IF(Q47=Q45,1,0)))</f>
        <v/>
      </c>
      <c r="X47">
        <v>34</v>
      </c>
      <c r="Y47" t="str">
        <f>IF(Q46="","",X47)</f>
        <v/>
      </c>
      <c r="AC47" t="str">
        <f>IFERROR(VLOOKUP($AB46,$AC$16:$AI$23,AC$6,0),"")</f>
        <v/>
      </c>
      <c r="AD47">
        <f t="shared" ref="AD47" si="39">IFERROR(VLOOKUP($AB46,$AC$16:$AI$23,AD$6,0),"")</f>
        <v>0</v>
      </c>
      <c r="AE47">
        <f t="shared" ref="AE47" si="40">IFERROR(VLOOKUP($AB46,$AC$16:$AI$23,AE$6,0),"")</f>
        <v>0</v>
      </c>
      <c r="AF47">
        <f t="shared" ref="AF47" si="41">IFERROR(VLOOKUP($AB46,$AC$16:$AI$23,AF$6,0),"")</f>
        <v>0</v>
      </c>
      <c r="AG47" t="str">
        <f t="shared" ref="AG47" si="42">IFERROR(VLOOKUP($AB46,$AC$16:$AI$23,AG$6,0),"")</f>
        <v/>
      </c>
      <c r="AH47" t="str">
        <f t="shared" ref="AH47" si="43">IFERROR(VLOOKUP($AB46,$AC$16:$AI$23,AH$6,0),"")</f>
        <v/>
      </c>
      <c r="AI47" t="str">
        <f t="shared" ref="AI47" si="44">IFERROR(VLOOKUP($AB46,$AC$16:$AI$23,AI$6,0),"")</f>
        <v/>
      </c>
    </row>
    <row r="48" spans="2:38" ht="15" customHeight="1" thickBot="1" x14ac:dyDescent="0.3">
      <c r="C48" s="3"/>
      <c r="D48" s="3"/>
      <c r="E48" s="3"/>
      <c r="F48" s="3"/>
      <c r="G48" s="3"/>
      <c r="H48" s="120"/>
      <c r="N48" t="str">
        <f t="shared" si="3"/>
        <v/>
      </c>
      <c r="X48">
        <v>35</v>
      </c>
      <c r="Y48" t="str">
        <f t="shared" si="4"/>
        <v/>
      </c>
      <c r="AC48" t="str">
        <f>IFERROR(VLOOKUP($AB46,$AC$25:$AI$32,AC$6,0),"")</f>
        <v/>
      </c>
      <c r="AD48">
        <f t="shared" ref="AD48:AI48" si="45">IFERROR(VLOOKUP($AB46,$AC$25:$AI$32,AD$6,0),"")</f>
        <v>0</v>
      </c>
      <c r="AE48">
        <f t="shared" si="45"/>
        <v>0</v>
      </c>
      <c r="AF48">
        <f t="shared" si="45"/>
        <v>0</v>
      </c>
      <c r="AG48" t="str">
        <f t="shared" si="45"/>
        <v/>
      </c>
      <c r="AH48" t="str">
        <f t="shared" si="45"/>
        <v/>
      </c>
      <c r="AI48" t="str">
        <f t="shared" si="45"/>
        <v/>
      </c>
    </row>
    <row r="49" spans="3:38" ht="15" customHeight="1" thickBot="1" x14ac:dyDescent="0.3">
      <c r="C49" s="3"/>
      <c r="D49" s="3"/>
      <c r="E49" s="3"/>
      <c r="F49" s="3"/>
      <c r="G49" s="3"/>
      <c r="H49" s="120"/>
      <c r="N49" t="str">
        <f t="shared" si="3"/>
        <v/>
      </c>
      <c r="O49" s="100" t="s">
        <v>278</v>
      </c>
      <c r="P49" s="5" t="s">
        <v>279</v>
      </c>
      <c r="Q49" s="113" t="str">
        <f>IF(R49="","",VLOOKUP(R49,Listing!$X$3:$Y$176,2,0))</f>
        <v/>
      </c>
      <c r="R49" s="5" t="str">
        <f>C37</f>
        <v/>
      </c>
      <c r="S49" s="5"/>
      <c r="T49" s="5"/>
      <c r="U49" s="5"/>
      <c r="V49" s="16"/>
      <c r="X49">
        <v>36</v>
      </c>
      <c r="Y49" t="str">
        <f t="shared" si="4"/>
        <v/>
      </c>
      <c r="AB49" s="119" t="str">
        <f>'CLASSEMENT FINAL'!C12</f>
        <v/>
      </c>
      <c r="AC49" t="str">
        <f>IFERROR(VLOOKUP($AB49,$AC$7:$AI$14,AC$6,0),"")</f>
        <v/>
      </c>
      <c r="AD49">
        <f t="shared" ref="AD49:AI49" si="46">IFERROR(VLOOKUP($AB49,$AC$7:$AI$14,AD$6,0),"")</f>
        <v>0</v>
      </c>
      <c r="AE49">
        <f t="shared" si="46"/>
        <v>0</v>
      </c>
      <c r="AF49">
        <f t="shared" si="46"/>
        <v>0</v>
      </c>
      <c r="AG49" t="str">
        <f t="shared" si="46"/>
        <v/>
      </c>
      <c r="AH49" t="str">
        <f t="shared" si="46"/>
        <v/>
      </c>
      <c r="AI49" t="str">
        <f t="shared" si="46"/>
        <v/>
      </c>
      <c r="AJ49" s="119">
        <f>SUM(AG49:AG51)</f>
        <v>0</v>
      </c>
      <c r="AK49" s="119">
        <f>SUM(AH49:AH51)</f>
        <v>0</v>
      </c>
      <c r="AL49" s="119">
        <f>SUM(AI49:AI51)</f>
        <v>0</v>
      </c>
    </row>
    <row r="50" spans="3:38" ht="15" customHeight="1" thickBot="1" x14ac:dyDescent="0.3">
      <c r="C50" s="3"/>
      <c r="D50" s="3"/>
      <c r="E50" s="3"/>
      <c r="F50" s="3"/>
      <c r="G50" s="3"/>
      <c r="H50" s="120"/>
      <c r="N50" t="str">
        <f t="shared" si="3"/>
        <v/>
      </c>
      <c r="O50" s="13"/>
      <c r="P50" s="10" t="s">
        <v>280</v>
      </c>
      <c r="Q50" s="115" t="str">
        <f>IF(D37="","",D37)</f>
        <v/>
      </c>
      <c r="R50" s="115" t="str">
        <f>IF(E37="","",E37)</f>
        <v/>
      </c>
      <c r="S50" s="116" t="str">
        <f>IF(F37="","",F37)</f>
        <v/>
      </c>
      <c r="T50" s="10" t="s">
        <v>282</v>
      </c>
      <c r="U50" s="10"/>
      <c r="V50" s="115" t="str">
        <f>IF(OR(Q50="",Q52=""),"",IF(Q50&gt;Q52,2,IF(Q50=Q52,1,0)))</f>
        <v/>
      </c>
      <c r="X50">
        <v>37</v>
      </c>
      <c r="Y50" t="str">
        <f>IF(Q49="","",X50)</f>
        <v/>
      </c>
      <c r="AC50" t="str">
        <f>IFERROR(VLOOKUP($AB49,$AC$16:$AI$23,AC$6,0),"")</f>
        <v/>
      </c>
      <c r="AD50">
        <f t="shared" ref="AD50" si="47">IFERROR(VLOOKUP($AB49,$AC$16:$AI$23,AD$6,0),"")</f>
        <v>0</v>
      </c>
      <c r="AE50">
        <f t="shared" ref="AE50" si="48">IFERROR(VLOOKUP($AB49,$AC$16:$AI$23,AE$6,0),"")</f>
        <v>0</v>
      </c>
      <c r="AF50">
        <f t="shared" ref="AF50" si="49">IFERROR(VLOOKUP($AB49,$AC$16:$AI$23,AF$6,0),"")</f>
        <v>0</v>
      </c>
      <c r="AG50" t="str">
        <f t="shared" ref="AG50" si="50">IFERROR(VLOOKUP($AB49,$AC$16:$AI$23,AG$6,0),"")</f>
        <v/>
      </c>
      <c r="AH50" t="str">
        <f t="shared" ref="AH50" si="51">IFERROR(VLOOKUP($AB49,$AC$16:$AI$23,AH$6,0),"")</f>
        <v/>
      </c>
      <c r="AI50" t="str">
        <f t="shared" ref="AI50" si="52">IFERROR(VLOOKUP($AB49,$AC$16:$AI$23,AI$6,0),"")</f>
        <v/>
      </c>
    </row>
    <row r="51" spans="3:38" ht="15" customHeight="1" thickBot="1" x14ac:dyDescent="0.3">
      <c r="C51" s="3"/>
      <c r="D51" s="3"/>
      <c r="E51" s="3"/>
      <c r="F51" s="3"/>
      <c r="G51" s="3"/>
      <c r="H51" s="120"/>
      <c r="N51" t="str">
        <f t="shared" si="3"/>
        <v/>
      </c>
      <c r="O51" s="100" t="s">
        <v>281</v>
      </c>
      <c r="P51" s="5" t="s">
        <v>279</v>
      </c>
      <c r="Q51" s="113" t="str">
        <f>IF(R51="","",VLOOKUP(R51,Listing!$X$3:$Y$176,2,0))</f>
        <v/>
      </c>
      <c r="R51" s="5" t="str">
        <f>C38</f>
        <v/>
      </c>
      <c r="S51" s="5"/>
      <c r="T51" s="5"/>
      <c r="U51" s="5"/>
      <c r="V51" s="16"/>
      <c r="X51">
        <v>38</v>
      </c>
      <c r="Y51" t="str">
        <f t="shared" si="4"/>
        <v/>
      </c>
      <c r="AC51" t="str">
        <f>IFERROR(VLOOKUP($AB49,$AC$25:$AI$32,AC$6,0),"")</f>
        <v/>
      </c>
      <c r="AD51">
        <f t="shared" ref="AD51:AI51" si="53">IFERROR(VLOOKUP($AB49,$AC$25:$AI$32,AD$6,0),"")</f>
        <v>0</v>
      </c>
      <c r="AE51">
        <f t="shared" si="53"/>
        <v>0</v>
      </c>
      <c r="AF51">
        <f t="shared" si="53"/>
        <v>0</v>
      </c>
      <c r="AG51" t="str">
        <f t="shared" si="53"/>
        <v/>
      </c>
      <c r="AH51" t="str">
        <f t="shared" si="53"/>
        <v/>
      </c>
      <c r="AI51" t="str">
        <f t="shared" si="53"/>
        <v/>
      </c>
    </row>
    <row r="52" spans="3:38" ht="15" customHeight="1" thickBot="1" x14ac:dyDescent="0.3">
      <c r="C52" s="3"/>
      <c r="D52" s="3"/>
      <c r="E52" s="3"/>
      <c r="F52" s="3"/>
      <c r="G52" s="3"/>
      <c r="H52" s="120"/>
      <c r="N52" t="str">
        <f t="shared" si="3"/>
        <v/>
      </c>
      <c r="O52" s="13"/>
      <c r="P52" s="10" t="s">
        <v>280</v>
      </c>
      <c r="Q52" s="115" t="str">
        <f>IF(D38="","",D38)</f>
        <v/>
      </c>
      <c r="R52" s="116" t="str">
        <f>IF(E38="","",E38)</f>
        <v/>
      </c>
      <c r="S52" s="115" t="str">
        <f>IF(F38="","",F38)</f>
        <v/>
      </c>
      <c r="T52" s="10" t="s">
        <v>282</v>
      </c>
      <c r="U52" s="10"/>
      <c r="V52" s="115" t="str">
        <f>IF(OR(Q52="",Q50=""),"",IF(Q52&gt;Q50,2,IF(Q52=Q50,1,0)))</f>
        <v/>
      </c>
      <c r="X52">
        <v>39</v>
      </c>
      <c r="Y52" t="str">
        <f>IF(Q51="","",X52)</f>
        <v/>
      </c>
      <c r="AB52" s="119" t="str">
        <f>'CLASSEMENT FINAL'!C13</f>
        <v/>
      </c>
      <c r="AC52" t="str">
        <f>IFERROR(VLOOKUP($AB52,$AC$7:$AI$14,AC$6,0),"")</f>
        <v/>
      </c>
      <c r="AD52">
        <f t="shared" ref="AD52:AI52" si="54">IFERROR(VLOOKUP($AB52,$AC$7:$AI$14,AD$6,0),"")</f>
        <v>0</v>
      </c>
      <c r="AE52">
        <f t="shared" si="54"/>
        <v>0</v>
      </c>
      <c r="AF52">
        <f t="shared" si="54"/>
        <v>0</v>
      </c>
      <c r="AG52" t="str">
        <f t="shared" si="54"/>
        <v/>
      </c>
      <c r="AH52" t="str">
        <f t="shared" si="54"/>
        <v/>
      </c>
      <c r="AI52" t="str">
        <f t="shared" si="54"/>
        <v/>
      </c>
      <c r="AJ52" s="119">
        <f>SUM(AG52:AG54)</f>
        <v>0</v>
      </c>
      <c r="AK52" s="119">
        <f>SUM(AH52:AH54)</f>
        <v>0</v>
      </c>
      <c r="AL52" s="119">
        <f>SUM(AI52:AI54)</f>
        <v>0</v>
      </c>
    </row>
    <row r="53" spans="3:38" ht="15" customHeight="1" thickBot="1" x14ac:dyDescent="0.3">
      <c r="C53" s="3"/>
      <c r="D53" s="3"/>
      <c r="E53" s="3"/>
      <c r="F53" s="3"/>
      <c r="G53" s="3"/>
      <c r="H53" s="120"/>
      <c r="N53" t="str">
        <f t="shared" si="3"/>
        <v/>
      </c>
      <c r="X53">
        <v>40</v>
      </c>
      <c r="Y53" t="str">
        <f t="shared" si="4"/>
        <v/>
      </c>
      <c r="AC53" t="str">
        <f>IFERROR(VLOOKUP($AB52,$AC$16:$AI$23,AC$6,0),"")</f>
        <v/>
      </c>
      <c r="AD53">
        <f t="shared" ref="AD53" si="55">IFERROR(VLOOKUP($AB52,$AC$16:$AI$23,AD$6,0),"")</f>
        <v>0</v>
      </c>
      <c r="AE53">
        <f t="shared" ref="AE53" si="56">IFERROR(VLOOKUP($AB52,$AC$16:$AI$23,AE$6,0),"")</f>
        <v>0</v>
      </c>
      <c r="AF53">
        <f t="shared" ref="AF53" si="57">IFERROR(VLOOKUP($AB52,$AC$16:$AI$23,AF$6,0),"")</f>
        <v>0</v>
      </c>
      <c r="AG53" t="str">
        <f t="shared" ref="AG53" si="58">IFERROR(VLOOKUP($AB52,$AC$16:$AI$23,AG$6,0),"")</f>
        <v/>
      </c>
      <c r="AH53" t="str">
        <f t="shared" ref="AH53" si="59">IFERROR(VLOOKUP($AB52,$AC$16:$AI$23,AH$6,0),"")</f>
        <v/>
      </c>
      <c r="AI53" t="str">
        <f t="shared" ref="AI53" si="60">IFERROR(VLOOKUP($AB52,$AC$16:$AI$23,AI$6,0),"")</f>
        <v/>
      </c>
    </row>
    <row r="54" spans="3:38" ht="15" customHeight="1" thickBot="1" x14ac:dyDescent="0.3">
      <c r="N54" t="str">
        <f t="shared" si="3"/>
        <v/>
      </c>
      <c r="O54" s="100" t="s">
        <v>278</v>
      </c>
      <c r="P54" s="5" t="s">
        <v>279</v>
      </c>
      <c r="Q54" s="113" t="str">
        <f>IF(R54="","",VLOOKUP(R54,Listing!$X$3:$Y$176,2,0))</f>
        <v/>
      </c>
      <c r="R54" s="5" t="str">
        <f>C41</f>
        <v/>
      </c>
      <c r="S54" s="5"/>
      <c r="T54" s="5"/>
      <c r="U54" s="5"/>
      <c r="V54" s="16"/>
      <c r="X54">
        <v>41</v>
      </c>
      <c r="Y54" t="str">
        <f t="shared" si="4"/>
        <v/>
      </c>
      <c r="AC54" t="str">
        <f>IFERROR(VLOOKUP($AB52,$AC$25:$AI$32,AC$6,0),"")</f>
        <v/>
      </c>
      <c r="AD54">
        <f t="shared" ref="AD54:AI54" si="61">IFERROR(VLOOKUP($AB52,$AC$25:$AI$32,AD$6,0),"")</f>
        <v>0</v>
      </c>
      <c r="AE54">
        <f t="shared" si="61"/>
        <v>0</v>
      </c>
      <c r="AF54">
        <f t="shared" si="61"/>
        <v>0</v>
      </c>
      <c r="AG54" t="str">
        <f t="shared" si="61"/>
        <v/>
      </c>
      <c r="AH54" t="str">
        <f t="shared" si="61"/>
        <v/>
      </c>
      <c r="AI54" t="str">
        <f t="shared" si="61"/>
        <v/>
      </c>
    </row>
    <row r="55" spans="3:38" ht="15" customHeight="1" thickBot="1" x14ac:dyDescent="0.3">
      <c r="N55" t="str">
        <f t="shared" si="3"/>
        <v/>
      </c>
      <c r="O55" s="13"/>
      <c r="P55" s="10" t="s">
        <v>280</v>
      </c>
      <c r="Q55" s="115" t="str">
        <f>IF($R54="","",D41)</f>
        <v/>
      </c>
      <c r="R55" s="115" t="str">
        <f>IF($R54="","",E41)</f>
        <v/>
      </c>
      <c r="S55" s="115" t="str">
        <f>IF($R54="","",F41)</f>
        <v/>
      </c>
      <c r="T55" s="10" t="s">
        <v>282</v>
      </c>
      <c r="U55" s="10"/>
      <c r="V55" s="115" t="str">
        <f>IF(OR(Q55="",Q57=""),"",IF(Q55&gt;Q57,2,IF(Q55=Q57,1,0)))</f>
        <v/>
      </c>
      <c r="X55">
        <v>42</v>
      </c>
      <c r="Y55" t="str">
        <f>IF(Q54="","",X55)</f>
        <v/>
      </c>
      <c r="AB55" s="119" t="str">
        <f>'CLASSEMENT FINAL'!C14</f>
        <v/>
      </c>
      <c r="AC55" t="str">
        <f>IFERROR(VLOOKUP($AB55,$AC$7:$AI$14,AC$6,0),"")</f>
        <v/>
      </c>
      <c r="AD55">
        <f t="shared" ref="AD55:AI55" si="62">IFERROR(VLOOKUP($AB55,$AC$7:$AI$14,AD$6,0),"")</f>
        <v>0</v>
      </c>
      <c r="AE55">
        <f t="shared" si="62"/>
        <v>0</v>
      </c>
      <c r="AF55">
        <f t="shared" si="62"/>
        <v>0</v>
      </c>
      <c r="AG55" t="str">
        <f t="shared" si="62"/>
        <v/>
      </c>
      <c r="AH55" t="str">
        <f t="shared" si="62"/>
        <v/>
      </c>
      <c r="AI55" t="str">
        <f t="shared" si="62"/>
        <v/>
      </c>
      <c r="AJ55" s="119">
        <f>SUM(AG55:AG57)</f>
        <v>0</v>
      </c>
      <c r="AK55" s="119">
        <f>SUM(AH55:AH57)</f>
        <v>0</v>
      </c>
      <c r="AL55" s="119">
        <f>SUM(AI55:AI57)</f>
        <v>0</v>
      </c>
    </row>
    <row r="56" spans="3:38" ht="15" customHeight="1" thickBot="1" x14ac:dyDescent="0.3">
      <c r="N56" t="str">
        <f t="shared" si="3"/>
        <v/>
      </c>
      <c r="O56" s="100" t="s">
        <v>281</v>
      </c>
      <c r="P56" s="5" t="s">
        <v>279</v>
      </c>
      <c r="Q56" s="113" t="str">
        <f>IF(R56="","",VLOOKUP(R56,Listing!$X$3:$Y$176,2,0))</f>
        <v/>
      </c>
      <c r="R56" s="5" t="str">
        <f>C42</f>
        <v/>
      </c>
      <c r="S56" s="5"/>
      <c r="T56" s="5"/>
      <c r="U56" s="5"/>
      <c r="V56" s="16"/>
      <c r="X56">
        <v>43</v>
      </c>
      <c r="Y56" t="str">
        <f t="shared" si="4"/>
        <v/>
      </c>
      <c r="AC56" t="str">
        <f>IFERROR(VLOOKUP($AB55,$AC$16:$AI$23,AC$6,0),"")</f>
        <v/>
      </c>
      <c r="AD56">
        <f t="shared" ref="AD56" si="63">IFERROR(VLOOKUP($AB55,$AC$16:$AI$23,AD$6,0),"")</f>
        <v>0</v>
      </c>
      <c r="AE56">
        <f t="shared" ref="AE56" si="64">IFERROR(VLOOKUP($AB55,$AC$16:$AI$23,AE$6,0),"")</f>
        <v>0</v>
      </c>
      <c r="AF56">
        <f t="shared" ref="AF56" si="65">IFERROR(VLOOKUP($AB55,$AC$16:$AI$23,AF$6,0),"")</f>
        <v>0</v>
      </c>
      <c r="AG56" t="str">
        <f t="shared" ref="AG56" si="66">IFERROR(VLOOKUP($AB55,$AC$16:$AI$23,AG$6,0),"")</f>
        <v/>
      </c>
      <c r="AH56" t="str">
        <f t="shared" ref="AH56" si="67">IFERROR(VLOOKUP($AB55,$AC$16:$AI$23,AH$6,0),"")</f>
        <v/>
      </c>
      <c r="AI56" t="str">
        <f t="shared" ref="AI56" si="68">IFERROR(VLOOKUP($AB55,$AC$16:$AI$23,AI$6,0),"")</f>
        <v/>
      </c>
    </row>
    <row r="57" spans="3:38" ht="15" customHeight="1" thickBot="1" x14ac:dyDescent="0.3">
      <c r="N57" t="str">
        <f t="shared" si="3"/>
        <v/>
      </c>
      <c r="O57" s="13"/>
      <c r="P57" s="10" t="s">
        <v>280</v>
      </c>
      <c r="Q57" s="115" t="str">
        <f>IF($R56="","",D42)</f>
        <v/>
      </c>
      <c r="R57" s="115" t="str">
        <f>IF($R56="","",E42)</f>
        <v/>
      </c>
      <c r="S57" s="115" t="str">
        <f>IF($R56="","",F42)</f>
        <v/>
      </c>
      <c r="T57" s="10" t="s">
        <v>282</v>
      </c>
      <c r="U57" s="10"/>
      <c r="V57" s="115" t="str">
        <f>IF(OR(Q57="",Q55=""),"",IF(Q57&gt;Q55,2,IF(Q57=Q55,1,0)))</f>
        <v/>
      </c>
      <c r="X57">
        <v>44</v>
      </c>
      <c r="Y57" t="str">
        <f>IF(Q56="","",X57)</f>
        <v/>
      </c>
      <c r="AC57" t="str">
        <f>IFERROR(VLOOKUP($AB55,$AC$25:$AI$32,AC$6,0),"")</f>
        <v/>
      </c>
      <c r="AD57">
        <f t="shared" ref="AD57:AI57" si="69">IFERROR(VLOOKUP($AB55,$AC$25:$AI$32,AD$6,0),"")</f>
        <v>0</v>
      </c>
      <c r="AE57">
        <f t="shared" si="69"/>
        <v>0</v>
      </c>
      <c r="AF57">
        <f t="shared" si="69"/>
        <v>0</v>
      </c>
      <c r="AG57" t="str">
        <f t="shared" si="69"/>
        <v/>
      </c>
      <c r="AH57" t="str">
        <f t="shared" si="69"/>
        <v/>
      </c>
      <c r="AI57" t="str">
        <f t="shared" si="69"/>
        <v/>
      </c>
    </row>
    <row r="58" spans="3:38" ht="15" customHeight="1" x14ac:dyDescent="0.25">
      <c r="AB58" s="119" t="str">
        <f>'CLASSEMENT FINAL'!C15</f>
        <v/>
      </c>
      <c r="AC58" t="str">
        <f>IFERROR(VLOOKUP($AB58,$AC$7:$AI$14,AC$6,0),"")</f>
        <v/>
      </c>
      <c r="AD58">
        <f t="shared" ref="AD58:AI58" si="70">IFERROR(VLOOKUP($AB58,$AC$7:$AI$14,AD$6,0),"")</f>
        <v>0</v>
      </c>
      <c r="AE58">
        <f t="shared" si="70"/>
        <v>0</v>
      </c>
      <c r="AF58">
        <f t="shared" si="70"/>
        <v>0</v>
      </c>
      <c r="AG58" t="str">
        <f t="shared" si="70"/>
        <v/>
      </c>
      <c r="AH58" t="str">
        <f t="shared" si="70"/>
        <v/>
      </c>
      <c r="AI58" t="str">
        <f t="shared" si="70"/>
        <v/>
      </c>
      <c r="AJ58" s="119">
        <f>SUM(AG58:AG60)</f>
        <v>0</v>
      </c>
      <c r="AK58" s="119">
        <f>SUM(AH58:AH60)</f>
        <v>0</v>
      </c>
      <c r="AL58" s="119">
        <f>SUM(AI58:AI60)</f>
        <v>0</v>
      </c>
    </row>
    <row r="59" spans="3:38" ht="15" customHeight="1" x14ac:dyDescent="0.25">
      <c r="N59">
        <f>COUNTA(N14:N57)</f>
        <v>44</v>
      </c>
      <c r="AC59" t="str">
        <f>IFERROR(VLOOKUP($AB58,$AC$16:$AI$23,AC$6,0),"")</f>
        <v/>
      </c>
      <c r="AD59">
        <f t="shared" ref="AD59" si="71">IFERROR(VLOOKUP($AB58,$AC$16:$AI$23,AD$6,0),"")</f>
        <v>0</v>
      </c>
      <c r="AE59">
        <f t="shared" ref="AE59" si="72">IFERROR(VLOOKUP($AB58,$AC$16:$AI$23,AE$6,0),"")</f>
        <v>0</v>
      </c>
      <c r="AF59">
        <f t="shared" ref="AF59" si="73">IFERROR(VLOOKUP($AB58,$AC$16:$AI$23,AF$6,0),"")</f>
        <v>0</v>
      </c>
      <c r="AG59" t="str">
        <f t="shared" ref="AG59" si="74">IFERROR(VLOOKUP($AB58,$AC$16:$AI$23,AG$6,0),"")</f>
        <v/>
      </c>
      <c r="AH59" t="str">
        <f t="shared" ref="AH59" si="75">IFERROR(VLOOKUP($AB58,$AC$16:$AI$23,AH$6,0),"")</f>
        <v/>
      </c>
      <c r="AI59" t="str">
        <f t="shared" ref="AI59" si="76">IFERROR(VLOOKUP($AB58,$AC$16:$AI$23,AI$6,0),"")</f>
        <v/>
      </c>
    </row>
    <row r="60" spans="3:38" ht="15" customHeight="1" x14ac:dyDescent="0.25">
      <c r="N60">
        <f>COUNTBLANK(N14:N57)</f>
        <v>44</v>
      </c>
      <c r="AC60" t="str">
        <f>IFERROR(VLOOKUP($AB58,$AC$25:$AI$32,AC$6,0),"")</f>
        <v/>
      </c>
      <c r="AD60">
        <f t="shared" ref="AD60:AI60" si="77">IFERROR(VLOOKUP($AB58,$AC$25:$AI$32,AD$6,0),"")</f>
        <v>0</v>
      </c>
      <c r="AE60">
        <f t="shared" si="77"/>
        <v>0</v>
      </c>
      <c r="AF60">
        <f t="shared" si="77"/>
        <v>0</v>
      </c>
      <c r="AG60" t="str">
        <f t="shared" si="77"/>
        <v/>
      </c>
      <c r="AH60" t="str">
        <f t="shared" si="77"/>
        <v/>
      </c>
      <c r="AI60" t="str">
        <f t="shared" si="77"/>
        <v/>
      </c>
    </row>
    <row r="61" spans="3:38" ht="15" customHeight="1" x14ac:dyDescent="0.25">
      <c r="N61">
        <f>N59-N60</f>
        <v>0</v>
      </c>
    </row>
  </sheetData>
  <sheetProtection algorithmName="SHA-512" hashValue="6sYphWFDt8aOLqqAuxl+jb9v+sBbw1tTxU42u9acluJOmDMuEbstVNR0hsPjM5NHdeeoUTXsRb2RqSs9ddXurw==" saltValue="Jcom1FZ9WycEQ2x2ZvEfnw==" spinCount="100000" sheet="1" selectLockedCells="1"/>
  <mergeCells count="5">
    <mergeCell ref="R12:T12"/>
    <mergeCell ref="D5:F5"/>
    <mergeCell ref="D18:F18"/>
    <mergeCell ref="D31:F31"/>
    <mergeCell ref="B2:G3"/>
  </mergeCells>
  <conditionalFormatting sqref="D7:D8">
    <cfRule type="expression" dxfId="52" priority="77" stopIfTrue="1">
      <formula>#REF!&lt;&gt;""</formula>
    </cfRule>
  </conditionalFormatting>
  <conditionalFormatting sqref="D11:D12">
    <cfRule type="expression" dxfId="51" priority="82" stopIfTrue="1">
      <formula>#REF!&lt;&gt;""</formula>
    </cfRule>
  </conditionalFormatting>
  <conditionalFormatting sqref="D15:D16">
    <cfRule type="expression" dxfId="50" priority="87" stopIfTrue="1">
      <formula>#REF!=2</formula>
    </cfRule>
    <cfRule type="expression" dxfId="49" priority="88" stopIfTrue="1">
      <formula>#REF!&lt;&gt;""</formula>
    </cfRule>
  </conditionalFormatting>
  <conditionalFormatting sqref="D20:D21">
    <cfRule type="expression" dxfId="48" priority="31" stopIfTrue="1">
      <formula>#REF!&lt;&gt;""</formula>
    </cfRule>
  </conditionalFormatting>
  <conditionalFormatting sqref="D24:D25">
    <cfRule type="expression" dxfId="47" priority="36" stopIfTrue="1">
      <formula>#REF!&lt;&gt;""</formula>
    </cfRule>
  </conditionalFormatting>
  <conditionalFormatting sqref="D28:D29">
    <cfRule type="expression" dxfId="46" priority="42" stopIfTrue="1">
      <formula>#REF!&lt;&gt;""</formula>
    </cfRule>
    <cfRule type="expression" dxfId="45" priority="41" stopIfTrue="1">
      <formula>#REF!=2</formula>
    </cfRule>
  </conditionalFormatting>
  <conditionalFormatting sqref="D33:D34">
    <cfRule type="expression" dxfId="44" priority="8" stopIfTrue="1">
      <formula>#REF!&lt;&gt;""</formula>
    </cfRule>
  </conditionalFormatting>
  <conditionalFormatting sqref="D37:D38">
    <cfRule type="expression" dxfId="43" priority="13" stopIfTrue="1">
      <formula>#REF!&lt;&gt;""</formula>
    </cfRule>
  </conditionalFormatting>
  <conditionalFormatting sqref="D41:D42">
    <cfRule type="expression" dxfId="42" priority="18" stopIfTrue="1">
      <formula>#REF!=2</formula>
    </cfRule>
    <cfRule type="expression" dxfId="41" priority="19" stopIfTrue="1">
      <formula>#REF!&lt;&gt;""</formula>
    </cfRule>
  </conditionalFormatting>
  <conditionalFormatting sqref="E7">
    <cfRule type="expression" dxfId="40" priority="78" stopIfTrue="1">
      <formula>#REF!&lt;&gt;""</formula>
    </cfRule>
  </conditionalFormatting>
  <conditionalFormatting sqref="E11">
    <cfRule type="expression" dxfId="39" priority="83" stopIfTrue="1">
      <formula>#REF!&lt;&gt;""</formula>
    </cfRule>
  </conditionalFormatting>
  <conditionalFormatting sqref="E15">
    <cfRule type="expression" dxfId="38" priority="89" stopIfTrue="1">
      <formula>#REF!=2</formula>
    </cfRule>
    <cfRule type="expression" dxfId="37" priority="90" stopIfTrue="1">
      <formula>#REF!&lt;&gt;""</formula>
    </cfRule>
  </conditionalFormatting>
  <conditionalFormatting sqref="E20">
    <cfRule type="expression" dxfId="36" priority="32" stopIfTrue="1">
      <formula>#REF!&lt;&gt;""</formula>
    </cfRule>
  </conditionalFormatting>
  <conditionalFormatting sqref="E24">
    <cfRule type="expression" dxfId="35" priority="37" stopIfTrue="1">
      <formula>#REF!&lt;&gt;""</formula>
    </cfRule>
  </conditionalFormatting>
  <conditionalFormatting sqref="E28">
    <cfRule type="expression" dxfId="34" priority="44" stopIfTrue="1">
      <formula>#REF!&lt;&gt;""</formula>
    </cfRule>
    <cfRule type="expression" dxfId="33" priority="43" stopIfTrue="1">
      <formula>#REF!=2</formula>
    </cfRule>
  </conditionalFormatting>
  <conditionalFormatting sqref="E33">
    <cfRule type="expression" dxfId="32" priority="9" stopIfTrue="1">
      <formula>#REF!&lt;&gt;""</formula>
    </cfRule>
  </conditionalFormatting>
  <conditionalFormatting sqref="E37">
    <cfRule type="expression" dxfId="31" priority="14" stopIfTrue="1">
      <formula>#REF!&lt;&gt;""</formula>
    </cfRule>
  </conditionalFormatting>
  <conditionalFormatting sqref="E41">
    <cfRule type="expression" dxfId="30" priority="20" stopIfTrue="1">
      <formula>#REF!=2</formula>
    </cfRule>
    <cfRule type="expression" dxfId="29" priority="21" stopIfTrue="1">
      <formula>#REF!&lt;&gt;""</formula>
    </cfRule>
  </conditionalFormatting>
  <conditionalFormatting sqref="F7:F8">
    <cfRule type="expression" dxfId="28" priority="79" stopIfTrue="1">
      <formula>#REF!&lt;&gt;""</formula>
    </cfRule>
  </conditionalFormatting>
  <conditionalFormatting sqref="F11:F12">
    <cfRule type="expression" dxfId="27" priority="84" stopIfTrue="1">
      <formula>#REF!&lt;&gt;""</formula>
    </cfRule>
  </conditionalFormatting>
  <conditionalFormatting sqref="F15:F16">
    <cfRule type="expression" dxfId="26" priority="92" stopIfTrue="1">
      <formula>#REF!&lt;&gt;""</formula>
    </cfRule>
    <cfRule type="expression" dxfId="25" priority="91" stopIfTrue="1">
      <formula>#REF!=2</formula>
    </cfRule>
  </conditionalFormatting>
  <conditionalFormatting sqref="F20:F21">
    <cfRule type="expression" dxfId="24" priority="33" stopIfTrue="1">
      <formula>#REF!&lt;&gt;""</formula>
    </cfRule>
  </conditionalFormatting>
  <conditionalFormatting sqref="F24:F25">
    <cfRule type="expression" dxfId="23" priority="38" stopIfTrue="1">
      <formula>#REF!&lt;&gt;""</formula>
    </cfRule>
  </conditionalFormatting>
  <conditionalFormatting sqref="F28:F29">
    <cfRule type="expression" dxfId="22" priority="45" stopIfTrue="1">
      <formula>#REF!=2</formula>
    </cfRule>
    <cfRule type="expression" dxfId="21" priority="46" stopIfTrue="1">
      <formula>#REF!&lt;&gt;""</formula>
    </cfRule>
  </conditionalFormatting>
  <conditionalFormatting sqref="F33:F34">
    <cfRule type="expression" dxfId="20" priority="10" stopIfTrue="1">
      <formula>#REF!&lt;&gt;""</formula>
    </cfRule>
  </conditionalFormatting>
  <conditionalFormatting sqref="F37:F38">
    <cfRule type="expression" dxfId="19" priority="15" stopIfTrue="1">
      <formula>#REF!&lt;&gt;""</formula>
    </cfRule>
  </conditionalFormatting>
  <conditionalFormatting sqref="F41:F42">
    <cfRule type="expression" dxfId="18" priority="23" stopIfTrue="1">
      <formula>#REF!&lt;&gt;""</formula>
    </cfRule>
    <cfRule type="expression" dxfId="17" priority="22" stopIfTrue="1">
      <formula>#REF!=2</formula>
    </cfRule>
  </conditionalFormatting>
  <conditionalFormatting sqref="O14:V27">
    <cfRule type="expression" dxfId="16" priority="3">
      <formula>$O$4=$P$4</formula>
    </cfRule>
  </conditionalFormatting>
  <conditionalFormatting sqref="O14:V42">
    <cfRule type="expression" dxfId="15" priority="4">
      <formula>$O$4&lt;&gt;$P$4</formula>
    </cfRule>
  </conditionalFormatting>
  <conditionalFormatting sqref="O29:V42">
    <cfRule type="expression" dxfId="14" priority="2">
      <formula>$O$4=$P$4</formula>
    </cfRule>
  </conditionalFormatting>
  <conditionalFormatting sqref="O44:V57">
    <cfRule type="expression" dxfId="13" priority="1">
      <formula>$Q$44&gt;10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50"/>
  </sheetPr>
  <dimension ref="A1:M17"/>
  <sheetViews>
    <sheetView showGridLines="0" zoomScaleNormal="100" workbookViewId="0">
      <selection activeCell="P10" sqref="P10"/>
    </sheetView>
  </sheetViews>
  <sheetFormatPr baseColWidth="10" defaultRowHeight="22.5" customHeight="1" x14ac:dyDescent="0.3"/>
  <cols>
    <col min="1" max="1" width="3.5703125" style="69" customWidth="1"/>
    <col min="2" max="2" width="1.7109375" style="69" customWidth="1"/>
    <col min="3" max="3" width="33.140625" style="69" customWidth="1"/>
    <col min="4" max="4" width="11.28515625" style="69" customWidth="1"/>
    <col min="5" max="7" width="6.140625" style="69" customWidth="1"/>
    <col min="8" max="8" width="8.5703125" style="69" customWidth="1"/>
    <col min="9" max="9" width="23" style="69" customWidth="1"/>
    <col min="10" max="12" width="4.42578125" style="69" customWidth="1"/>
    <col min="13" max="13" width="8.5703125" style="69" customWidth="1"/>
    <col min="14" max="14" width="2.28515625" style="69" customWidth="1"/>
    <col min="15" max="15" width="11.42578125" style="69"/>
    <col min="16" max="16" width="26.28515625" style="69" customWidth="1"/>
    <col min="17" max="16384" width="11.42578125" style="69"/>
  </cols>
  <sheetData>
    <row r="1" spans="1:13" ht="13.5" customHeight="1" x14ac:dyDescent="0.3">
      <c r="A1" s="168" t="s">
        <v>300</v>
      </c>
    </row>
    <row r="2" spans="1:13" s="150" customFormat="1" ht="22.5" customHeight="1" x14ac:dyDescent="0.25">
      <c r="A2" s="171"/>
      <c r="B2" s="172"/>
      <c r="C2" s="172" t="s">
        <v>320</v>
      </c>
      <c r="D2" s="294" t="str">
        <f>IF('INSCRIPTION DES JOUEURS'!E10="","",'INSCRIPTION DES JOUEURS'!E10)</f>
        <v/>
      </c>
      <c r="E2" s="294"/>
      <c r="F2" s="294"/>
      <c r="G2" s="172" t="s">
        <v>321</v>
      </c>
      <c r="H2" s="293" t="str">
        <f>IF('INSCRIPTION DES JOUEURS'!E7="","",'INSCRIPTION DES JOUEURS'!E7)</f>
        <v/>
      </c>
      <c r="I2" s="293"/>
      <c r="J2" s="172"/>
      <c r="K2" s="172"/>
      <c r="L2" s="172"/>
      <c r="M2" s="172"/>
    </row>
    <row r="3" spans="1:13" s="150" customFormat="1" ht="22.5" customHeight="1" x14ac:dyDescent="0.25">
      <c r="A3" s="168" t="s">
        <v>297</v>
      </c>
      <c r="B3" s="172"/>
      <c r="C3" s="172"/>
      <c r="D3" s="172"/>
      <c r="E3" s="172" t="str">
        <f>IF('INSCRIPTION DES JOUEURS'!G8="","",'INSCRIPTION DES JOUEURS'!G8)</f>
        <v/>
      </c>
      <c r="F3" s="172"/>
      <c r="G3" s="172" t="s">
        <v>322</v>
      </c>
      <c r="H3" s="292" t="str">
        <f>IF('INSCRIPTION DES JOUEURS'!E9="","",'INSCRIPTION DES JOUEURS'!E9)</f>
        <v/>
      </c>
      <c r="I3" s="292"/>
      <c r="J3" s="172"/>
      <c r="K3" s="172"/>
      <c r="L3" s="172"/>
      <c r="M3" s="172"/>
    </row>
    <row r="5" spans="1:13" ht="37.5" customHeight="1" thickBot="1" x14ac:dyDescent="0.35"/>
    <row r="6" spans="1:13" ht="44.25" customHeight="1" thickBot="1" x14ac:dyDescent="0.35">
      <c r="C6" s="82" t="s">
        <v>283</v>
      </c>
      <c r="D6" s="83" t="s">
        <v>284</v>
      </c>
      <c r="E6" s="84" t="s">
        <v>139</v>
      </c>
      <c r="F6" s="84" t="s">
        <v>140</v>
      </c>
      <c r="G6" s="84" t="s">
        <v>141</v>
      </c>
      <c r="H6" s="84" t="s">
        <v>142</v>
      </c>
      <c r="I6" s="154" t="s">
        <v>298</v>
      </c>
      <c r="J6" s="84" t="s">
        <v>290</v>
      </c>
      <c r="K6" s="85" t="s">
        <v>291</v>
      </c>
      <c r="L6" s="86" t="s">
        <v>292</v>
      </c>
    </row>
    <row r="7" spans="1:13" ht="30" customHeight="1" x14ac:dyDescent="0.3">
      <c r="B7" s="69" t="str">
        <f>'Calc Feuille de résultats'!AB31</f>
        <v/>
      </c>
      <c r="C7" s="155" t="str">
        <f>'Calc Feuille de résultats'!AC31</f>
        <v/>
      </c>
      <c r="D7" s="156" t="str">
        <f>'Calc Feuille de résultats'!AD31</f>
        <v/>
      </c>
      <c r="E7" s="156" t="str">
        <f>'Calc Feuille de résultats'!AE31</f>
        <v/>
      </c>
      <c r="F7" s="156" t="str">
        <f>'Calc Feuille de résultats'!AF31</f>
        <v/>
      </c>
      <c r="G7" s="156" t="str">
        <f>'Calc Feuille de résultats'!AG31</f>
        <v/>
      </c>
      <c r="H7" s="157" t="str">
        <f>'Calc Feuille de résultats'!AH31</f>
        <v/>
      </c>
      <c r="I7" s="158"/>
      <c r="J7" s="159" t="str">
        <f>IF($C7="","",VLOOKUP($C7,'FEUILLE DE RESULTATS'!$AB$34:$AL$58,'FEUILLE DE RESULTATS'!AJ$33,0))</f>
        <v/>
      </c>
      <c r="K7" s="159" t="str">
        <f>IF($C7="","",VLOOKUP($C7,'FEUILLE DE RESULTATS'!$AB$34:$AL$58,'FEUILLE DE RESULTATS'!AK$33,0))</f>
        <v/>
      </c>
      <c r="L7" s="159" t="str">
        <f>IF($C7="","",VLOOKUP($C7,'FEUILLE DE RESULTATS'!$AB$34:$AL$58,'FEUILLE DE RESULTATS'!AL$33,0))</f>
        <v/>
      </c>
      <c r="M7" s="160" t="str">
        <f>IF(B7="","",'Calc Feuille de résultats'!AI31)</f>
        <v/>
      </c>
    </row>
    <row r="8" spans="1:13" ht="30" customHeight="1" x14ac:dyDescent="0.3">
      <c r="B8" s="69" t="str">
        <f>'Calc Feuille de résultats'!AB32</f>
        <v/>
      </c>
      <c r="C8" s="161" t="str">
        <f>'Calc Feuille de résultats'!AC32</f>
        <v/>
      </c>
      <c r="D8" s="87" t="str">
        <f>'Calc Feuille de résultats'!AD32</f>
        <v/>
      </c>
      <c r="E8" s="87" t="str">
        <f>'Calc Feuille de résultats'!AE32</f>
        <v/>
      </c>
      <c r="F8" s="87" t="str">
        <f>'Calc Feuille de résultats'!AF32</f>
        <v/>
      </c>
      <c r="G8" s="87" t="str">
        <f>'Calc Feuille de résultats'!AG32</f>
        <v/>
      </c>
      <c r="H8" s="88" t="str">
        <f>'Calc Feuille de résultats'!AH32</f>
        <v/>
      </c>
      <c r="I8" s="121"/>
      <c r="J8" s="89" t="str">
        <f>IF($C8="","",VLOOKUP($C8,'FEUILLE DE RESULTATS'!$AB$34:$AL$58,'FEUILLE DE RESULTATS'!AJ$33,0))</f>
        <v/>
      </c>
      <c r="K8" s="89" t="str">
        <f>IF($C8="","",VLOOKUP($C8,'FEUILLE DE RESULTATS'!$AB$34:$AL$58,'FEUILLE DE RESULTATS'!AK$33,0))</f>
        <v/>
      </c>
      <c r="L8" s="89" t="str">
        <f>IF($C8="","",VLOOKUP($C8,'FEUILLE DE RESULTATS'!$AB$34:$AL$58,'FEUILLE DE RESULTATS'!AL$33,0))</f>
        <v/>
      </c>
      <c r="M8" s="162" t="str">
        <f>IF(B8="","",'Calc Feuille de résultats'!AI32)</f>
        <v/>
      </c>
    </row>
    <row r="9" spans="1:13" ht="30" customHeight="1" x14ac:dyDescent="0.3">
      <c r="B9" s="69" t="str">
        <f>'Calc Feuille de résultats'!AB33</f>
        <v/>
      </c>
      <c r="C9" s="161" t="str">
        <f>'Calc Feuille de résultats'!AC33</f>
        <v/>
      </c>
      <c r="D9" s="87" t="str">
        <f>'Calc Feuille de résultats'!AD33</f>
        <v/>
      </c>
      <c r="E9" s="87" t="str">
        <f>'Calc Feuille de résultats'!AE33</f>
        <v/>
      </c>
      <c r="F9" s="87" t="str">
        <f>'Calc Feuille de résultats'!AF33</f>
        <v/>
      </c>
      <c r="G9" s="87" t="str">
        <f>'Calc Feuille de résultats'!AG33</f>
        <v/>
      </c>
      <c r="H9" s="88" t="str">
        <f>'Calc Feuille de résultats'!AH33</f>
        <v/>
      </c>
      <c r="I9" s="121"/>
      <c r="J9" s="89" t="str">
        <f>IF($C9="","",VLOOKUP($C9,'FEUILLE DE RESULTATS'!$AB$34:$AL$58,'FEUILLE DE RESULTATS'!AJ$33,0))</f>
        <v/>
      </c>
      <c r="K9" s="89" t="str">
        <f>IF($C9="","",VLOOKUP($C9,'FEUILLE DE RESULTATS'!$AB$34:$AL$58,'FEUILLE DE RESULTATS'!AK$33,0))</f>
        <v/>
      </c>
      <c r="L9" s="89" t="str">
        <f>IF($C9="","",VLOOKUP($C9,'FEUILLE DE RESULTATS'!$AB$34:$AL$58,'FEUILLE DE RESULTATS'!AL$33,0))</f>
        <v/>
      </c>
      <c r="M9" s="162" t="str">
        <f>IF(B9="","",'Calc Feuille de résultats'!AI33)</f>
        <v/>
      </c>
    </row>
    <row r="10" spans="1:13" ht="30" customHeight="1" x14ac:dyDescent="0.3">
      <c r="B10" s="69" t="str">
        <f>'Calc Feuille de résultats'!AB34</f>
        <v/>
      </c>
      <c r="C10" s="161" t="str">
        <f>'Calc Feuille de résultats'!AC34</f>
        <v/>
      </c>
      <c r="D10" s="87" t="str">
        <f>'Calc Feuille de résultats'!AD34</f>
        <v/>
      </c>
      <c r="E10" s="87" t="str">
        <f>'Calc Feuille de résultats'!AE34</f>
        <v/>
      </c>
      <c r="F10" s="87" t="str">
        <f>'Calc Feuille de résultats'!AF34</f>
        <v/>
      </c>
      <c r="G10" s="87" t="str">
        <f>'Calc Feuille de résultats'!AG34</f>
        <v/>
      </c>
      <c r="H10" s="88" t="str">
        <f>'Calc Feuille de résultats'!AH34</f>
        <v/>
      </c>
      <c r="I10" s="121"/>
      <c r="J10" s="89" t="str">
        <f>IF($C10="","",VLOOKUP($C10,'FEUILLE DE RESULTATS'!$AB$34:$AL$58,'FEUILLE DE RESULTATS'!AJ$33,0))</f>
        <v/>
      </c>
      <c r="K10" s="89" t="str">
        <f>IF($C10="","",VLOOKUP($C10,'FEUILLE DE RESULTATS'!$AB$34:$AL$58,'FEUILLE DE RESULTATS'!AK$33,0))</f>
        <v/>
      </c>
      <c r="L10" s="89" t="str">
        <f>IF($C10="","",VLOOKUP($C10,'FEUILLE DE RESULTATS'!$AB$34:$AL$58,'FEUILLE DE RESULTATS'!AL$33,0))</f>
        <v/>
      </c>
      <c r="M10" s="162" t="str">
        <f>IF(B10="","",'Calc Feuille de résultats'!AI34)</f>
        <v/>
      </c>
    </row>
    <row r="11" spans="1:13" ht="30" customHeight="1" x14ac:dyDescent="0.3">
      <c r="B11" s="69" t="str">
        <f>'Calc Feuille de résultats'!AB35</f>
        <v/>
      </c>
      <c r="C11" s="161" t="str">
        <f>'Calc Feuille de résultats'!AC35</f>
        <v/>
      </c>
      <c r="D11" s="87" t="str">
        <f>'Calc Feuille de résultats'!AD35</f>
        <v/>
      </c>
      <c r="E11" s="87" t="str">
        <f>'Calc Feuille de résultats'!AE35</f>
        <v/>
      </c>
      <c r="F11" s="87" t="str">
        <f>'Calc Feuille de résultats'!AF35</f>
        <v/>
      </c>
      <c r="G11" s="87" t="str">
        <f>'Calc Feuille de résultats'!AG35</f>
        <v/>
      </c>
      <c r="H11" s="88" t="str">
        <f>'Calc Feuille de résultats'!AH35</f>
        <v/>
      </c>
      <c r="I11" s="121"/>
      <c r="J11" s="89" t="str">
        <f>IF($C11="","",VLOOKUP($C11,'FEUILLE DE RESULTATS'!$AB$34:$AL$58,'FEUILLE DE RESULTATS'!AJ$33,0))</f>
        <v/>
      </c>
      <c r="K11" s="89" t="str">
        <f>IF($C11="","",VLOOKUP($C11,'FEUILLE DE RESULTATS'!$AB$34:$AL$58,'FEUILLE DE RESULTATS'!AK$33,0))</f>
        <v/>
      </c>
      <c r="L11" s="89" t="str">
        <f>IF($C11="","",VLOOKUP($C11,'FEUILLE DE RESULTATS'!$AB$34:$AL$58,'FEUILLE DE RESULTATS'!AL$33,0))</f>
        <v/>
      </c>
      <c r="M11" s="162" t="str">
        <f>IF(B11="","",'Calc Feuille de résultats'!AI35)</f>
        <v/>
      </c>
    </row>
    <row r="12" spans="1:13" ht="30" customHeight="1" x14ac:dyDescent="0.3">
      <c r="B12" s="69" t="str">
        <f>'Calc Feuille de résultats'!AB36</f>
        <v/>
      </c>
      <c r="C12" s="161" t="str">
        <f>'Calc Feuille de résultats'!AC36</f>
        <v/>
      </c>
      <c r="D12" s="87" t="str">
        <f>'Calc Feuille de résultats'!AD36</f>
        <v/>
      </c>
      <c r="E12" s="87" t="str">
        <f>'Calc Feuille de résultats'!AE36</f>
        <v/>
      </c>
      <c r="F12" s="87" t="str">
        <f>'Calc Feuille de résultats'!AF36</f>
        <v/>
      </c>
      <c r="G12" s="87" t="str">
        <f>'Calc Feuille de résultats'!AG36</f>
        <v/>
      </c>
      <c r="H12" s="88" t="str">
        <f>'Calc Feuille de résultats'!AH36</f>
        <v/>
      </c>
      <c r="I12" s="121"/>
      <c r="J12" s="89" t="str">
        <f>IF($C12="","",VLOOKUP($C12,'FEUILLE DE RESULTATS'!$AB$34:$AL$58,'FEUILLE DE RESULTATS'!AJ$33,0))</f>
        <v/>
      </c>
      <c r="K12" s="89" t="str">
        <f>IF($C12="","",VLOOKUP($C12,'FEUILLE DE RESULTATS'!$AB$34:$AL$58,'FEUILLE DE RESULTATS'!AK$33,0))</f>
        <v/>
      </c>
      <c r="L12" s="89" t="str">
        <f>IF($C12="","",VLOOKUP($C12,'FEUILLE DE RESULTATS'!$AB$34:$AL$58,'FEUILLE DE RESULTATS'!AL$33,0))</f>
        <v/>
      </c>
      <c r="M12" s="162" t="str">
        <f>IF(B12="","",'Calc Feuille de résultats'!AI36)</f>
        <v/>
      </c>
    </row>
    <row r="13" spans="1:13" ht="30" customHeight="1" x14ac:dyDescent="0.3">
      <c r="B13" s="69" t="str">
        <f>'Calc Feuille de résultats'!AB37</f>
        <v/>
      </c>
      <c r="C13" s="161" t="str">
        <f>'Calc Feuille de résultats'!AC37</f>
        <v/>
      </c>
      <c r="D13" s="87" t="str">
        <f>'Calc Feuille de résultats'!AD37</f>
        <v/>
      </c>
      <c r="E13" s="87" t="str">
        <f>'Calc Feuille de résultats'!AE37</f>
        <v/>
      </c>
      <c r="F13" s="87" t="str">
        <f>'Calc Feuille de résultats'!AF37</f>
        <v/>
      </c>
      <c r="G13" s="87" t="str">
        <f>'Calc Feuille de résultats'!AG37</f>
        <v/>
      </c>
      <c r="H13" s="88" t="str">
        <f>'Calc Feuille de résultats'!AH37</f>
        <v/>
      </c>
      <c r="I13" s="121"/>
      <c r="J13" s="89" t="str">
        <f>IF($C13="","",VLOOKUP($C13,'FEUILLE DE RESULTATS'!$AB$34:$AL$58,'FEUILLE DE RESULTATS'!AJ$33,0))</f>
        <v/>
      </c>
      <c r="K13" s="89" t="str">
        <f>IF($C13="","",VLOOKUP($C13,'FEUILLE DE RESULTATS'!$AB$34:$AL$58,'FEUILLE DE RESULTATS'!AK$33,0))</f>
        <v/>
      </c>
      <c r="L13" s="89" t="str">
        <f>IF($C13="","",VLOOKUP($C13,'FEUILLE DE RESULTATS'!$AB$34:$AL$58,'FEUILLE DE RESULTATS'!AL$33,0))</f>
        <v/>
      </c>
      <c r="M13" s="162" t="str">
        <f>IF(B13="","",'Calc Feuille de résultats'!AI37)</f>
        <v/>
      </c>
    </row>
    <row r="14" spans="1:13" s="150" customFormat="1" ht="30" customHeight="1" x14ac:dyDescent="0.25">
      <c r="B14" s="150" t="str">
        <f>'Calc Feuille de résultats'!AB38</f>
        <v/>
      </c>
      <c r="C14" s="161" t="str">
        <f>'Calc Feuille de résultats'!AC38</f>
        <v/>
      </c>
      <c r="D14" s="87" t="str">
        <f>'Calc Feuille de résultats'!AD38</f>
        <v/>
      </c>
      <c r="E14" s="87" t="str">
        <f>'Calc Feuille de résultats'!AE38</f>
        <v/>
      </c>
      <c r="F14" s="87" t="str">
        <f>'Calc Feuille de résultats'!AF38</f>
        <v/>
      </c>
      <c r="G14" s="87" t="str">
        <f>'Calc Feuille de résultats'!AG38</f>
        <v/>
      </c>
      <c r="H14" s="87" t="str">
        <f>'Calc Feuille de résultats'!AH38</f>
        <v/>
      </c>
      <c r="I14" s="151"/>
      <c r="J14" s="89" t="str">
        <f>IF($C14="","",VLOOKUP($C14,'FEUILLE DE RESULTATS'!$AB$34:$AL$58,'FEUILLE DE RESULTATS'!AJ$33,0))</f>
        <v/>
      </c>
      <c r="K14" s="89" t="str">
        <f>IF($C14="","",VLOOKUP($C14,'FEUILLE DE RESULTATS'!$AB$34:$AL$58,'FEUILLE DE RESULTATS'!AK$33,0))</f>
        <v/>
      </c>
      <c r="L14" s="89" t="str">
        <f>IF($C14="","",VLOOKUP($C14,'FEUILLE DE RESULTATS'!$AB$34:$AL$58,'FEUILLE DE RESULTATS'!AL$33,0))</f>
        <v/>
      </c>
      <c r="M14" s="162" t="str">
        <f>IF(B14="","",'Calc Feuille de résultats'!AI38)</f>
        <v/>
      </c>
    </row>
    <row r="15" spans="1:13" s="150" customFormat="1" ht="30" customHeight="1" thickBot="1" x14ac:dyDescent="0.3">
      <c r="B15" s="150" t="str">
        <f>'Calc Feuille de résultats'!AB39</f>
        <v/>
      </c>
      <c r="C15" s="163" t="str">
        <f>'Calc Feuille de résultats'!AC39</f>
        <v/>
      </c>
      <c r="D15" s="164" t="str">
        <f>'Calc Feuille de résultats'!AD39</f>
        <v/>
      </c>
      <c r="E15" s="164" t="str">
        <f>'Calc Feuille de résultats'!AE39</f>
        <v/>
      </c>
      <c r="F15" s="164" t="str">
        <f>'Calc Feuille de résultats'!AF39</f>
        <v/>
      </c>
      <c r="G15" s="164" t="str">
        <f>'Calc Feuille de résultats'!AG39</f>
        <v/>
      </c>
      <c r="H15" s="164" t="str">
        <f>'Calc Feuille de résultats'!AH39</f>
        <v/>
      </c>
      <c r="I15" s="165"/>
      <c r="J15" s="166" t="str">
        <f>IF($C15="","",VLOOKUP($C15,'FEUILLE DE RESULTATS'!$AB$34:$AL$58,'FEUILLE DE RESULTATS'!AJ$33,0))</f>
        <v/>
      </c>
      <c r="K15" s="166" t="str">
        <f>IF($C15="","",VLOOKUP($C15,'FEUILLE DE RESULTATS'!$AB$34:$AL$58,'FEUILLE DE RESULTATS'!AK$33,0))</f>
        <v/>
      </c>
      <c r="L15" s="166" t="str">
        <f>IF($C15="","",VLOOKUP($C15,'FEUILLE DE RESULTATS'!$AB$34:$AL$58,'FEUILLE DE RESULTATS'!AL$33,0))</f>
        <v/>
      </c>
      <c r="M15" s="167" t="str">
        <f>IF(B15="","",'Calc Feuille de résultats'!AI39)</f>
        <v/>
      </c>
    </row>
    <row r="16" spans="1:13" ht="22.5" customHeight="1" x14ac:dyDescent="0.3">
      <c r="C16" s="90" t="s">
        <v>296</v>
      </c>
      <c r="I16" s="291" t="s">
        <v>299</v>
      </c>
    </row>
    <row r="17" spans="3:9" ht="22.5" customHeight="1" x14ac:dyDescent="0.3">
      <c r="C17" s="90" t="s">
        <v>297</v>
      </c>
      <c r="I17" s="291"/>
    </row>
  </sheetData>
  <sheetProtection selectLockedCells="1"/>
  <mergeCells count="4">
    <mergeCell ref="I16:I17"/>
    <mergeCell ref="H3:I3"/>
    <mergeCell ref="H2:I2"/>
    <mergeCell ref="D2:F2"/>
  </mergeCells>
  <dataValidations count="1">
    <dataValidation type="list" allowBlank="1" showInputMessage="1" showErrorMessage="1" sqref="I7:I15" xr:uid="{00000000-0002-0000-0200-000000000000}">
      <formula1>$A$1:$A$3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FFFF00"/>
  </sheetPr>
  <dimension ref="A1:N55"/>
  <sheetViews>
    <sheetView showGridLines="0" workbookViewId="0">
      <selection activeCell="E20" sqref="E20"/>
    </sheetView>
  </sheetViews>
  <sheetFormatPr baseColWidth="10" defaultRowHeight="12" customHeight="1" x14ac:dyDescent="0.25"/>
  <cols>
    <col min="1" max="1" width="1.42578125" customWidth="1"/>
    <col min="2" max="2" width="2" customWidth="1"/>
    <col min="4" max="4" width="14.42578125" customWidth="1"/>
    <col min="5" max="5" width="14.5703125" customWidth="1"/>
    <col min="6" max="6" width="9.7109375" customWidth="1"/>
    <col min="7" max="7" width="7.85546875" customWidth="1"/>
    <col min="8" max="8" width="16.42578125" customWidth="1"/>
    <col min="9" max="9" width="4.7109375" customWidth="1"/>
    <col min="10" max="10" width="1.5703125" customWidth="1"/>
  </cols>
  <sheetData>
    <row r="1" spans="1:9" ht="12" customHeight="1" x14ac:dyDescent="0.25">
      <c r="C1" s="92">
        <v>2</v>
      </c>
      <c r="D1" s="92">
        <v>3</v>
      </c>
      <c r="E1" s="92">
        <v>4</v>
      </c>
      <c r="F1" s="92">
        <v>5</v>
      </c>
      <c r="G1" s="92">
        <v>6</v>
      </c>
      <c r="H1" s="92">
        <v>7</v>
      </c>
      <c r="I1" s="92">
        <v>9</v>
      </c>
    </row>
    <row r="2" spans="1:9" ht="12" customHeight="1" x14ac:dyDescent="0.25">
      <c r="B2" s="92">
        <f>'FEUILLE DE RESULTATS'!N61</f>
        <v>0</v>
      </c>
      <c r="C2" s="295" t="s">
        <v>286</v>
      </c>
      <c r="D2" s="295"/>
      <c r="E2" s="295"/>
      <c r="F2" s="295"/>
      <c r="G2" s="295"/>
      <c r="H2" s="295"/>
      <c r="I2" s="295"/>
    </row>
    <row r="3" spans="1:9" ht="12" customHeight="1" x14ac:dyDescent="0.25">
      <c r="C3" s="295"/>
      <c r="D3" s="295"/>
      <c r="E3" s="295"/>
      <c r="F3" s="295"/>
      <c r="G3" s="295"/>
      <c r="H3" s="295"/>
      <c r="I3" s="295"/>
    </row>
    <row r="4" spans="1:9" ht="12" customHeight="1" x14ac:dyDescent="0.25">
      <c r="C4" s="295"/>
      <c r="D4" s="295"/>
      <c r="E4" s="295"/>
      <c r="F4" s="295"/>
      <c r="G4" s="295"/>
      <c r="H4" s="295"/>
      <c r="I4" s="295"/>
    </row>
    <row r="5" spans="1:9" ht="12" customHeight="1" x14ac:dyDescent="0.25">
      <c r="C5" s="295"/>
      <c r="D5" s="295"/>
      <c r="E5" s="295"/>
      <c r="F5" s="295"/>
      <c r="G5" s="295"/>
      <c r="H5" s="295"/>
      <c r="I5" s="295"/>
    </row>
    <row r="7" spans="1:9" ht="12" customHeight="1" x14ac:dyDescent="0.25">
      <c r="C7" s="79" t="s">
        <v>285</v>
      </c>
      <c r="D7" s="79"/>
      <c r="E7" s="79" t="s">
        <v>289</v>
      </c>
    </row>
    <row r="8" spans="1:9" ht="12" customHeight="1" thickBot="1" x14ac:dyDescent="0.3">
      <c r="F8" s="79"/>
      <c r="G8" s="79"/>
      <c r="H8" s="79"/>
    </row>
    <row r="9" spans="1:9" ht="12" customHeight="1" thickBot="1" x14ac:dyDescent="0.3">
      <c r="C9" s="3" t="str">
        <f>'FEUILLE DE RESULTATS'!O12</f>
        <v>Billard:</v>
      </c>
      <c r="D9" s="80" t="str">
        <f>'FEUILLE DE RESULTATS'!P12</f>
        <v>2m80</v>
      </c>
      <c r="E9" s="3" t="str">
        <f>'FEUILLE DE RESULTATS'!Q12</f>
        <v>Date:</v>
      </c>
      <c r="F9" s="296">
        <f>'FEUILLE DE RESULTATS'!R12</f>
        <v>0</v>
      </c>
      <c r="G9" s="297"/>
    </row>
    <row r="10" spans="1:9" ht="12" customHeight="1" thickBot="1" x14ac:dyDescent="0.3"/>
    <row r="11" spans="1:9" ht="12" customHeight="1" thickBot="1" x14ac:dyDescent="0.3">
      <c r="A11" s="92">
        <v>1</v>
      </c>
      <c r="B11" s="92" t="str">
        <f>IF(A11="","",IF(A11&lt;=$B$2,A11,""))</f>
        <v/>
      </c>
      <c r="C11" s="70" t="str">
        <f>IF(B11="","",VLOOKUP($B11,'FEUILLE DE RESULTATS'!$N$14:$V$57,'RESULTAT FFBSPORTIF'!C$1,0))</f>
        <v/>
      </c>
      <c r="D11" s="71" t="str">
        <f>IF(B11="","",VLOOKUP($B11,'FEUILLE DE RESULTATS'!$N$14:$V$57,'RESULTAT FFBSPORTIF'!D$1,0))</f>
        <v/>
      </c>
      <c r="E11" s="74" t="str">
        <f>IF(B11="","",VLOOKUP($B11,'FEUILLE DE RESULTATS'!$N$14:$V$57,'RESULTAT FFBSPORTIF'!E$1,0))</f>
        <v/>
      </c>
      <c r="F11" s="75" t="str">
        <f>IF(B11="","",VLOOKUP($B11,'FEUILLE DE RESULTATS'!$N$14:$V$57,'RESULTAT FFBSPORTIF'!F$1,0))</f>
        <v/>
      </c>
      <c r="G11" s="71"/>
      <c r="H11" s="71"/>
      <c r="I11" s="76"/>
    </row>
    <row r="12" spans="1:9" ht="12" customHeight="1" thickBot="1" x14ac:dyDescent="0.3">
      <c r="A12" s="92">
        <v>2</v>
      </c>
      <c r="B12" s="92" t="str">
        <f t="shared" ref="B12:B54" si="0">IF(A12="","",IF(A12&lt;=$B$2,A12,""))</f>
        <v/>
      </c>
      <c r="C12" s="72"/>
      <c r="D12" s="73" t="str">
        <f>IF(B12="","",VLOOKUP($B12,'FEUILLE DE RESULTATS'!$N$14:$V$57,'RESULTAT FFBSPORTIF'!D$1,0))</f>
        <v/>
      </c>
      <c r="E12" s="74" t="str">
        <f>IF(B12="","",VLOOKUP($B12,'FEUILLE DE RESULTATS'!$N$14:$V$57,'RESULTAT FFBSPORTIF'!E$1,0))</f>
        <v/>
      </c>
      <c r="F12" s="81" t="str">
        <f>IF(B12="","",VLOOKUP($B12,'FEUILLE DE RESULTATS'!$N$14:$V$57,'RESULTAT FFBSPORTIF'!F$1,0))</f>
        <v/>
      </c>
      <c r="G12" s="78" t="str">
        <f>IF(B12="","",VLOOKUP($B12,'FEUILLE DE RESULTATS'!$N$14:$V$57,'RESULTAT FFBSPORTIF'!G$1,0))</f>
        <v/>
      </c>
      <c r="H12" s="73" t="str">
        <f>IF(B12="","",VLOOKUP($B12,'FEUILLE DE RESULTATS'!$N$14:$V$57,'RESULTAT FFBSPORTIF'!H$1,0))</f>
        <v/>
      </c>
      <c r="I12" s="77" t="str">
        <f>IF(B12="","",VLOOKUP($B12,'FEUILLE DE RESULTATS'!$N$14:$V$57,'RESULTAT FFBSPORTIF'!I$1,0))</f>
        <v/>
      </c>
    </row>
    <row r="13" spans="1:9" ht="12" customHeight="1" thickBot="1" x14ac:dyDescent="0.3">
      <c r="A13" s="92">
        <v>3</v>
      </c>
      <c r="B13" s="92" t="str">
        <f t="shared" si="0"/>
        <v/>
      </c>
      <c r="C13" s="70" t="str">
        <f>IF(B13="","",VLOOKUP($B13,'FEUILLE DE RESULTATS'!$N$14:$V$57,'RESULTAT FFBSPORTIF'!C$1,0))</f>
        <v/>
      </c>
      <c r="D13" s="71" t="str">
        <f>IF(B13="","",VLOOKUP($B13,'FEUILLE DE RESULTATS'!$N$14:$V$57,'RESULTAT FFBSPORTIF'!D$1,0))</f>
        <v/>
      </c>
      <c r="E13" s="74" t="str">
        <f>IF(B13="","",VLOOKUP($B13,'FEUILLE DE RESULTATS'!$N$14:$V$57,'RESULTAT FFBSPORTIF'!E$1,0))</f>
        <v/>
      </c>
      <c r="F13" s="75" t="str">
        <f>IF(B13="","",VLOOKUP($B13,'FEUILLE DE RESULTATS'!$N$14:$V$57,'RESULTAT FFBSPORTIF'!F$1,0))</f>
        <v/>
      </c>
      <c r="G13" s="71"/>
      <c r="H13" s="71"/>
      <c r="I13" s="76"/>
    </row>
    <row r="14" spans="1:9" ht="12" customHeight="1" thickBot="1" x14ac:dyDescent="0.3">
      <c r="A14" s="92">
        <v>4</v>
      </c>
      <c r="B14" s="92" t="str">
        <f t="shared" si="0"/>
        <v/>
      </c>
      <c r="C14" s="72"/>
      <c r="D14" s="73" t="str">
        <f>IF(B14="","",VLOOKUP($B14,'FEUILLE DE RESULTATS'!$N$14:$V$57,'RESULTAT FFBSPORTIF'!D$1,0))</f>
        <v/>
      </c>
      <c r="E14" s="77" t="str">
        <f>IF(B14="","",VLOOKUP($B14,'FEUILLE DE RESULTATS'!$N$14:$V$57,'RESULTAT FFBSPORTIF'!E$1,0))</f>
        <v/>
      </c>
      <c r="F14" s="77" t="str">
        <f>IF(B14="","",VLOOKUP($B14,'FEUILLE DE RESULTATS'!$N$14:$V$57,'RESULTAT FFBSPORTIF'!F$1,0))</f>
        <v/>
      </c>
      <c r="G14" s="78" t="str">
        <f>IF(B14="","",VLOOKUP($B14,'FEUILLE DE RESULTATS'!$N$14:$V$57,'RESULTAT FFBSPORTIF'!G$1,0))</f>
        <v/>
      </c>
      <c r="H14" s="73" t="str">
        <f>IF(B14="","",VLOOKUP($B14,'FEUILLE DE RESULTATS'!$N$14:$V$57,'RESULTAT FFBSPORTIF'!H$1,0))</f>
        <v/>
      </c>
      <c r="I14" s="77" t="str">
        <f>IF(B14="","",VLOOKUP($B14,'FEUILLE DE RESULTATS'!$N$14:$V$57,'RESULTAT FFBSPORTIF'!I$1,0))</f>
        <v/>
      </c>
    </row>
    <row r="15" spans="1:9" ht="12" customHeight="1" thickBot="1" x14ac:dyDescent="0.3">
      <c r="A15" s="92"/>
      <c r="B15" s="92">
        <f>IFERROR(B11+B12+B13+B14,0)</f>
        <v>0</v>
      </c>
    </row>
    <row r="16" spans="1:9" ht="12" customHeight="1" thickBot="1" x14ac:dyDescent="0.3">
      <c r="A16" s="92">
        <v>5</v>
      </c>
      <c r="B16" s="92" t="str">
        <f t="shared" si="0"/>
        <v/>
      </c>
      <c r="C16" s="70" t="str">
        <f>IF(B16="","",VLOOKUP($B16,'FEUILLE DE RESULTATS'!$N$14:$V$57,'RESULTAT FFBSPORTIF'!C$1,0))</f>
        <v/>
      </c>
      <c r="D16" s="71" t="str">
        <f>IF(B16="","",VLOOKUP($B16,'FEUILLE DE RESULTATS'!$N$14:$V$57,'RESULTAT FFBSPORTIF'!D$1,0))</f>
        <v/>
      </c>
      <c r="E16" s="74" t="str">
        <f>IF(B16="","",VLOOKUP($B16,'FEUILLE DE RESULTATS'!$N$14:$V$57,'RESULTAT FFBSPORTIF'!E$1,0))</f>
        <v/>
      </c>
      <c r="F16" s="75" t="str">
        <f>IF(B16="","",VLOOKUP($B16,'FEUILLE DE RESULTATS'!$N$14:$V$57,'RESULTAT FFBSPORTIF'!F$1,0))</f>
        <v/>
      </c>
      <c r="G16" s="71"/>
      <c r="H16" s="71"/>
      <c r="I16" s="76"/>
    </row>
    <row r="17" spans="1:14" ht="12" customHeight="1" thickBot="1" x14ac:dyDescent="0.3">
      <c r="A17" s="92">
        <v>6</v>
      </c>
      <c r="B17" s="92" t="str">
        <f t="shared" si="0"/>
        <v/>
      </c>
      <c r="C17" s="72"/>
      <c r="D17" s="73" t="str">
        <f>IF(B17="","",VLOOKUP($B17,'FEUILLE DE RESULTATS'!$N$14:$V$57,'RESULTAT FFBSPORTIF'!D$1,0))</f>
        <v/>
      </c>
      <c r="E17" s="74" t="str">
        <f>IF(B17="","",VLOOKUP($B17,'FEUILLE DE RESULTATS'!$N$14:$V$57,'RESULTAT FFBSPORTIF'!E$1,0))</f>
        <v/>
      </c>
      <c r="F17" s="81" t="str">
        <f>IF(B17="","",VLOOKUP($B17,'FEUILLE DE RESULTATS'!$N$14:$V$57,'RESULTAT FFBSPORTIF'!F$1,0))</f>
        <v/>
      </c>
      <c r="G17" s="78" t="str">
        <f>IF(B17="","",VLOOKUP($B17,'FEUILLE DE RESULTATS'!$N$14:$V$57,'RESULTAT FFBSPORTIF'!G$1,0))</f>
        <v/>
      </c>
      <c r="H17" s="73" t="str">
        <f>IF(B17="","",VLOOKUP($B17,'FEUILLE DE RESULTATS'!$N$14:$V$57,'RESULTAT FFBSPORTIF'!H$1,0))</f>
        <v/>
      </c>
      <c r="I17" s="77" t="str">
        <f>IF(B17="","",VLOOKUP($B17,'FEUILLE DE RESULTATS'!$N$14:$V$57,'RESULTAT FFBSPORTIF'!I$1,0))</f>
        <v/>
      </c>
    </row>
    <row r="18" spans="1:14" ht="12" customHeight="1" thickBot="1" x14ac:dyDescent="0.3">
      <c r="A18" s="92">
        <v>7</v>
      </c>
      <c r="B18" s="92" t="str">
        <f t="shared" si="0"/>
        <v/>
      </c>
      <c r="C18" s="70" t="str">
        <f>IF(B18="","",VLOOKUP($B18,'FEUILLE DE RESULTATS'!$N$14:$V$57,'RESULTAT FFBSPORTIF'!C$1,0))</f>
        <v/>
      </c>
      <c r="D18" s="71" t="str">
        <f>IF(B18="","",VLOOKUP($B18,'FEUILLE DE RESULTATS'!$N$14:$V$57,'RESULTAT FFBSPORTIF'!D$1,0))</f>
        <v/>
      </c>
      <c r="E18" s="74" t="str">
        <f>IF(B18="","",VLOOKUP($B18,'FEUILLE DE RESULTATS'!$N$14:$V$57,'RESULTAT FFBSPORTIF'!E$1,0))</f>
        <v/>
      </c>
      <c r="F18" s="75" t="str">
        <f>IF(B18="","",VLOOKUP($B18,'FEUILLE DE RESULTATS'!$N$14:$V$57,'RESULTAT FFBSPORTIF'!F$1,0))</f>
        <v/>
      </c>
      <c r="G18" s="71"/>
      <c r="H18" s="71"/>
      <c r="I18" s="76"/>
    </row>
    <row r="19" spans="1:14" ht="12" customHeight="1" thickBot="1" x14ac:dyDescent="0.3">
      <c r="A19" s="92">
        <v>8</v>
      </c>
      <c r="B19" s="92" t="str">
        <f t="shared" si="0"/>
        <v/>
      </c>
      <c r="C19" s="72"/>
      <c r="D19" s="73" t="str">
        <f>IF(B19="","",VLOOKUP($B19,'FEUILLE DE RESULTATS'!$N$14:$V$57,'RESULTAT FFBSPORTIF'!D$1,0))</f>
        <v/>
      </c>
      <c r="E19" s="77" t="str">
        <f>IF(B19="","",VLOOKUP($B19,'FEUILLE DE RESULTATS'!$N$14:$V$57,'RESULTAT FFBSPORTIF'!E$1,0))</f>
        <v/>
      </c>
      <c r="F19" s="77" t="str">
        <f>IF(B19="","",VLOOKUP($B19,'FEUILLE DE RESULTATS'!$N$14:$V$57,'RESULTAT FFBSPORTIF'!F$1,0))</f>
        <v/>
      </c>
      <c r="G19" s="78" t="str">
        <f>IF(B19="","",VLOOKUP($B19,'FEUILLE DE RESULTATS'!$N$14:$V$57,'RESULTAT FFBSPORTIF'!G$1,0))</f>
        <v/>
      </c>
      <c r="H19" s="73" t="str">
        <f>IF(B19="","",VLOOKUP($B19,'FEUILLE DE RESULTATS'!$N$14:$V$57,'RESULTAT FFBSPORTIF'!H$1,0))</f>
        <v/>
      </c>
      <c r="I19" s="77" t="str">
        <f>IF(B19="","",VLOOKUP($B19,'FEUILLE DE RESULTATS'!$N$14:$V$57,'RESULTAT FFBSPORTIF'!I$1,0))</f>
        <v/>
      </c>
    </row>
    <row r="20" spans="1:14" ht="12" customHeight="1" thickBot="1" x14ac:dyDescent="0.3">
      <c r="A20" s="92"/>
      <c r="B20" s="92">
        <f>IFERROR(B16+B17+B18+B19,0)</f>
        <v>0</v>
      </c>
    </row>
    <row r="21" spans="1:14" ht="12" customHeight="1" thickBot="1" x14ac:dyDescent="0.3">
      <c r="A21" s="92">
        <v>9</v>
      </c>
      <c r="B21" s="92" t="str">
        <f t="shared" si="0"/>
        <v/>
      </c>
      <c r="C21" s="70" t="str">
        <f>IF(B21="","",VLOOKUP($B21,'FEUILLE DE RESULTATS'!$N$14:$V$57,'RESULTAT FFBSPORTIF'!C$1,0))</f>
        <v/>
      </c>
      <c r="D21" s="71" t="str">
        <f>IF(B21="","",VLOOKUP($B21,'FEUILLE DE RESULTATS'!$N$14:$V$57,'RESULTAT FFBSPORTIF'!D$1,0))</f>
        <v/>
      </c>
      <c r="E21" s="74" t="str">
        <f>IF(B21="","",VLOOKUP($B21,'FEUILLE DE RESULTATS'!$N$14:$V$57,'RESULTAT FFBSPORTIF'!E$1,0))</f>
        <v/>
      </c>
      <c r="F21" s="75" t="str">
        <f>IF(B21="","",VLOOKUP($B21,'FEUILLE DE RESULTATS'!$N$14:$V$57,'RESULTAT FFBSPORTIF'!F$1,0))</f>
        <v/>
      </c>
      <c r="G21" s="71"/>
      <c r="H21" s="71"/>
      <c r="I21" s="76"/>
    </row>
    <row r="22" spans="1:14" ht="12" customHeight="1" thickBot="1" x14ac:dyDescent="0.3">
      <c r="A22" s="92">
        <v>10</v>
      </c>
      <c r="B22" s="92" t="str">
        <f t="shared" si="0"/>
        <v/>
      </c>
      <c r="C22" s="72"/>
      <c r="D22" s="73" t="str">
        <f>IF(B22="","",VLOOKUP($B22,'FEUILLE DE RESULTATS'!$N$14:$V$57,'RESULTAT FFBSPORTIF'!D$1,0))</f>
        <v/>
      </c>
      <c r="E22" s="74" t="str">
        <f>IF(B22="","",VLOOKUP($B22,'FEUILLE DE RESULTATS'!$N$14:$V$57,'RESULTAT FFBSPORTIF'!E$1,0))</f>
        <v/>
      </c>
      <c r="F22" s="81" t="str">
        <f>IF(B22="","",VLOOKUP($B22,'FEUILLE DE RESULTATS'!$N$14:$V$57,'RESULTAT FFBSPORTIF'!F$1,0))</f>
        <v/>
      </c>
      <c r="G22" s="78" t="str">
        <f>IF(B22="","",VLOOKUP($B22,'FEUILLE DE RESULTATS'!$N$14:$V$57,'RESULTAT FFBSPORTIF'!G$1,0))</f>
        <v/>
      </c>
      <c r="H22" s="73" t="str">
        <f>IF(B22="","",VLOOKUP($B22,'FEUILLE DE RESULTATS'!$N$14:$V$57,'RESULTAT FFBSPORTIF'!H$1,0))</f>
        <v/>
      </c>
      <c r="I22" s="77" t="str">
        <f>IF(B22="","",VLOOKUP($B22,'FEUILLE DE RESULTATS'!$N$14:$V$57,'RESULTAT FFBSPORTIF'!I$1,0))</f>
        <v/>
      </c>
    </row>
    <row r="23" spans="1:14" ht="12" customHeight="1" thickBot="1" x14ac:dyDescent="0.3">
      <c r="A23" s="92">
        <v>11</v>
      </c>
      <c r="B23" s="92" t="str">
        <f t="shared" si="0"/>
        <v/>
      </c>
      <c r="C23" s="70" t="str">
        <f>IF(B23="","",VLOOKUP($B23,'FEUILLE DE RESULTATS'!$N$14:$V$57,'RESULTAT FFBSPORTIF'!C$1,0))</f>
        <v/>
      </c>
      <c r="D23" s="71" t="str">
        <f>IF(B23="","",VLOOKUP($B23,'FEUILLE DE RESULTATS'!$N$14:$V$57,'RESULTAT FFBSPORTIF'!D$1,0))</f>
        <v/>
      </c>
      <c r="E23" s="74" t="str">
        <f>IF(B23="","",VLOOKUP($B23,'FEUILLE DE RESULTATS'!$N$14:$V$57,'RESULTAT FFBSPORTIF'!E$1,0))</f>
        <v/>
      </c>
      <c r="F23" s="75" t="str">
        <f>IF(B23="","",VLOOKUP($B23,'FEUILLE DE RESULTATS'!$N$14:$V$57,'RESULTAT FFBSPORTIF'!F$1,0))</f>
        <v/>
      </c>
      <c r="G23" s="71"/>
      <c r="H23" s="71"/>
      <c r="I23" s="76"/>
    </row>
    <row r="24" spans="1:14" ht="12" customHeight="1" thickBot="1" x14ac:dyDescent="0.3">
      <c r="A24" s="92">
        <v>12</v>
      </c>
      <c r="B24" s="92" t="str">
        <f t="shared" si="0"/>
        <v/>
      </c>
      <c r="C24" s="72"/>
      <c r="D24" s="73" t="str">
        <f>IF(B24="","",VLOOKUP($B24,'FEUILLE DE RESULTATS'!$N$14:$V$57,'RESULTAT FFBSPORTIF'!D$1,0))</f>
        <v/>
      </c>
      <c r="E24" s="77" t="str">
        <f>IF(B24="","",VLOOKUP($B24,'FEUILLE DE RESULTATS'!$N$14:$V$57,'RESULTAT FFBSPORTIF'!E$1,0))</f>
        <v/>
      </c>
      <c r="F24" s="77" t="str">
        <f>IF(B24="","",VLOOKUP($B24,'FEUILLE DE RESULTATS'!$N$14:$V$57,'RESULTAT FFBSPORTIF'!F$1,0))</f>
        <v/>
      </c>
      <c r="G24" s="78" t="str">
        <f>IF(B24="","",VLOOKUP($B24,'FEUILLE DE RESULTATS'!$N$14:$V$57,'RESULTAT FFBSPORTIF'!G$1,0))</f>
        <v/>
      </c>
      <c r="H24" s="73" t="str">
        <f>IF(B24="","",VLOOKUP($B24,'FEUILLE DE RESULTATS'!$N$14:$V$57,'RESULTAT FFBSPORTIF'!H$1,0))</f>
        <v/>
      </c>
      <c r="I24" s="77" t="str">
        <f>IF(B24="","",VLOOKUP($B24,'FEUILLE DE RESULTATS'!$N$14:$V$57,'RESULTAT FFBSPORTIF'!I$1,0))</f>
        <v/>
      </c>
    </row>
    <row r="25" spans="1:14" ht="12" customHeight="1" thickBot="1" x14ac:dyDescent="0.3">
      <c r="A25" s="92"/>
      <c r="B25" s="92">
        <f>IFERROR(B21+B22+B23+B24,0)</f>
        <v>0</v>
      </c>
    </row>
    <row r="26" spans="1:14" ht="12" customHeight="1" thickBot="1" x14ac:dyDescent="0.3">
      <c r="A26" s="92">
        <v>13</v>
      </c>
      <c r="B26" s="92" t="str">
        <f t="shared" si="0"/>
        <v/>
      </c>
      <c r="C26" s="70" t="str">
        <f>IF(B26="","",VLOOKUP($B26,'FEUILLE DE RESULTATS'!$N$14:$V$57,'RESULTAT FFBSPORTIF'!C$1,0))</f>
        <v/>
      </c>
      <c r="D26" s="71" t="str">
        <f>IF(B26="","",VLOOKUP($B26,'FEUILLE DE RESULTATS'!$N$14:$V$57,'RESULTAT FFBSPORTIF'!D$1,0))</f>
        <v/>
      </c>
      <c r="E26" s="74" t="str">
        <f>IF(B26="","",VLOOKUP($B26,'FEUILLE DE RESULTATS'!$N$14:$V$57,'RESULTAT FFBSPORTIF'!E$1,0))</f>
        <v/>
      </c>
      <c r="F26" s="75" t="str">
        <f>IF(B26="","",VLOOKUP($B26,'FEUILLE DE RESULTATS'!$N$14:$V$57,'RESULTAT FFBSPORTIF'!F$1,0))</f>
        <v/>
      </c>
      <c r="G26" s="71"/>
      <c r="H26" s="71"/>
      <c r="I26" s="76"/>
    </row>
    <row r="27" spans="1:14" ht="12" customHeight="1" thickBot="1" x14ac:dyDescent="0.3">
      <c r="A27" s="92">
        <v>14</v>
      </c>
      <c r="B27" s="92" t="str">
        <f t="shared" si="0"/>
        <v/>
      </c>
      <c r="C27" s="72"/>
      <c r="D27" s="73" t="str">
        <f>IF(B27="","",VLOOKUP($B27,'FEUILLE DE RESULTATS'!$N$14:$V$57,'RESULTAT FFBSPORTIF'!D$1,0))</f>
        <v/>
      </c>
      <c r="E27" s="74" t="str">
        <f>IF(B27="","",VLOOKUP($B27,'FEUILLE DE RESULTATS'!$N$14:$V$57,'RESULTAT FFBSPORTIF'!E$1,0))</f>
        <v/>
      </c>
      <c r="F27" s="81" t="str">
        <f>IF(B27="","",VLOOKUP($B27,'FEUILLE DE RESULTATS'!$N$14:$V$57,'RESULTAT FFBSPORTIF'!F$1,0))</f>
        <v/>
      </c>
      <c r="G27" s="78" t="str">
        <f>IF(B27="","",VLOOKUP($B27,'FEUILLE DE RESULTATS'!$N$14:$V$57,'RESULTAT FFBSPORTIF'!G$1,0))</f>
        <v/>
      </c>
      <c r="H27" s="73" t="str">
        <f>IF(B27="","",VLOOKUP($B27,'FEUILLE DE RESULTATS'!$N$14:$V$57,'RESULTAT FFBSPORTIF'!H$1,0))</f>
        <v/>
      </c>
      <c r="I27" s="77" t="str">
        <f>IF(B27="","",VLOOKUP($B27,'FEUILLE DE RESULTATS'!$N$14:$V$57,'RESULTAT FFBSPORTIF'!I$1,0))</f>
        <v/>
      </c>
    </row>
    <row r="28" spans="1:14" ht="12" customHeight="1" thickBot="1" x14ac:dyDescent="0.3">
      <c r="A28" s="92">
        <v>15</v>
      </c>
      <c r="B28" s="92" t="str">
        <f t="shared" si="0"/>
        <v/>
      </c>
      <c r="C28" s="70" t="str">
        <f>IF(B28="","",VLOOKUP($B28,'FEUILLE DE RESULTATS'!$N$14:$V$57,'RESULTAT FFBSPORTIF'!C$1,0))</f>
        <v/>
      </c>
      <c r="D28" s="71" t="str">
        <f>IF(B28="","",VLOOKUP($B28,'FEUILLE DE RESULTATS'!$N$14:$V$57,'RESULTAT FFBSPORTIF'!D$1,0))</f>
        <v/>
      </c>
      <c r="E28" s="74" t="str">
        <f>IF(B28="","",VLOOKUP($B28,'FEUILLE DE RESULTATS'!$N$14:$V$57,'RESULTAT FFBSPORTIF'!E$1,0))</f>
        <v/>
      </c>
      <c r="F28" s="75" t="str">
        <f>IF(B28="","",VLOOKUP($B28,'FEUILLE DE RESULTATS'!$N$14:$V$57,'RESULTAT FFBSPORTIF'!F$1,0))</f>
        <v/>
      </c>
      <c r="G28" s="71"/>
      <c r="H28" s="71"/>
      <c r="I28" s="76"/>
      <c r="N28" s="79"/>
    </row>
    <row r="29" spans="1:14" ht="12" customHeight="1" thickBot="1" x14ac:dyDescent="0.3">
      <c r="A29" s="92">
        <v>16</v>
      </c>
      <c r="B29" s="92" t="str">
        <f t="shared" si="0"/>
        <v/>
      </c>
      <c r="C29" s="72"/>
      <c r="D29" s="73" t="str">
        <f>IF(B29="","",VLOOKUP($B29,'FEUILLE DE RESULTATS'!$N$14:$V$57,'RESULTAT FFBSPORTIF'!D$1,0))</f>
        <v/>
      </c>
      <c r="E29" s="77" t="str">
        <f>IF(B29="","",VLOOKUP($B29,'FEUILLE DE RESULTATS'!$N$14:$V$57,'RESULTAT FFBSPORTIF'!E$1,0))</f>
        <v/>
      </c>
      <c r="F29" s="77" t="str">
        <f>IF(B29="","",VLOOKUP($B29,'FEUILLE DE RESULTATS'!$N$14:$V$57,'RESULTAT FFBSPORTIF'!F$1,0))</f>
        <v/>
      </c>
      <c r="G29" s="78" t="str">
        <f>IF(B29="","",VLOOKUP($B29,'FEUILLE DE RESULTATS'!$N$14:$V$57,'RESULTAT FFBSPORTIF'!G$1,0))</f>
        <v/>
      </c>
      <c r="H29" s="73" t="str">
        <f>IF(B29="","",VLOOKUP($B29,'FEUILLE DE RESULTATS'!$N$14:$V$57,'RESULTAT FFBSPORTIF'!H$1,0))</f>
        <v/>
      </c>
      <c r="I29" s="77" t="str">
        <f>IF(B29="","",VLOOKUP($B29,'FEUILLE DE RESULTATS'!$N$14:$V$57,'RESULTAT FFBSPORTIF'!I$1,0))</f>
        <v/>
      </c>
    </row>
    <row r="30" spans="1:14" ht="12" customHeight="1" thickBot="1" x14ac:dyDescent="0.3">
      <c r="A30" s="92"/>
      <c r="B30" s="92">
        <f>IFERROR(B26+B27+B28+B29,0)</f>
        <v>0</v>
      </c>
    </row>
    <row r="31" spans="1:14" ht="12" customHeight="1" thickBot="1" x14ac:dyDescent="0.3">
      <c r="A31" s="92">
        <v>17</v>
      </c>
      <c r="B31" s="92" t="str">
        <f t="shared" si="0"/>
        <v/>
      </c>
      <c r="C31" s="70" t="str">
        <f>IF(B31="","",VLOOKUP($B31,'FEUILLE DE RESULTATS'!$N$14:$V$57,'RESULTAT FFBSPORTIF'!C$1,0))</f>
        <v/>
      </c>
      <c r="D31" s="71" t="str">
        <f>IF(B31="","",VLOOKUP($B31,'FEUILLE DE RESULTATS'!$N$14:$V$57,'RESULTAT FFBSPORTIF'!D$1,0))</f>
        <v/>
      </c>
      <c r="E31" s="74" t="str">
        <f>IF(B31="","",VLOOKUP($B31,'FEUILLE DE RESULTATS'!$N$14:$V$57,'RESULTAT FFBSPORTIF'!E$1,0))</f>
        <v/>
      </c>
      <c r="F31" s="75" t="str">
        <f>IF(B31="","",VLOOKUP($B31,'FEUILLE DE RESULTATS'!$N$14:$V$57,'RESULTAT FFBSPORTIF'!F$1,0))</f>
        <v/>
      </c>
      <c r="G31" s="71"/>
      <c r="H31" s="71"/>
      <c r="I31" s="76"/>
    </row>
    <row r="32" spans="1:14" ht="12" customHeight="1" thickBot="1" x14ac:dyDescent="0.3">
      <c r="A32" s="92">
        <v>18</v>
      </c>
      <c r="B32" s="92" t="str">
        <f t="shared" si="0"/>
        <v/>
      </c>
      <c r="C32" s="72"/>
      <c r="D32" s="73" t="str">
        <f>IF(B32="","",VLOOKUP($B32,'FEUILLE DE RESULTATS'!$N$14:$V$57,'RESULTAT FFBSPORTIF'!D$1,0))</f>
        <v/>
      </c>
      <c r="E32" s="74" t="str">
        <f>IF(B32="","",VLOOKUP($B32,'FEUILLE DE RESULTATS'!$N$14:$V$57,'RESULTAT FFBSPORTIF'!E$1,0))</f>
        <v/>
      </c>
      <c r="F32" s="81" t="str">
        <f>IF(B32="","",VLOOKUP($B32,'FEUILLE DE RESULTATS'!$N$14:$V$57,'RESULTAT FFBSPORTIF'!F$1,0))</f>
        <v/>
      </c>
      <c r="G32" s="78" t="str">
        <f>IF(B32="","",VLOOKUP($B32,'FEUILLE DE RESULTATS'!$N$14:$V$57,'RESULTAT FFBSPORTIF'!G$1,0))</f>
        <v/>
      </c>
      <c r="H32" s="73" t="str">
        <f>IF(B32="","",VLOOKUP($B32,'FEUILLE DE RESULTATS'!$N$14:$V$57,'RESULTAT FFBSPORTIF'!H$1,0))</f>
        <v/>
      </c>
      <c r="I32" s="77" t="str">
        <f>IF(B32="","",VLOOKUP($B32,'FEUILLE DE RESULTATS'!$N$14:$V$57,'RESULTAT FFBSPORTIF'!I$1,0))</f>
        <v/>
      </c>
    </row>
    <row r="33" spans="1:9" ht="12" customHeight="1" thickBot="1" x14ac:dyDescent="0.3">
      <c r="A33" s="92">
        <v>19</v>
      </c>
      <c r="B33" s="92" t="str">
        <f t="shared" si="0"/>
        <v/>
      </c>
      <c r="C33" s="70" t="str">
        <f>IF(B33="","",VLOOKUP($B33,'FEUILLE DE RESULTATS'!$N$14:$V$57,'RESULTAT FFBSPORTIF'!C$1,0))</f>
        <v/>
      </c>
      <c r="D33" s="71" t="str">
        <f>IF(B33="","",VLOOKUP($B33,'FEUILLE DE RESULTATS'!$N$14:$V$57,'RESULTAT FFBSPORTIF'!D$1,0))</f>
        <v/>
      </c>
      <c r="E33" s="74" t="str">
        <f>IF(B33="","",VLOOKUP($B33,'FEUILLE DE RESULTATS'!$N$14:$V$57,'RESULTAT FFBSPORTIF'!E$1,0))</f>
        <v/>
      </c>
      <c r="F33" s="75" t="str">
        <f>IF(B33="","",VLOOKUP($B33,'FEUILLE DE RESULTATS'!$N$14:$V$57,'RESULTAT FFBSPORTIF'!F$1,0))</f>
        <v/>
      </c>
      <c r="G33" s="71"/>
      <c r="H33" s="71"/>
      <c r="I33" s="76"/>
    </row>
    <row r="34" spans="1:9" ht="12" customHeight="1" thickBot="1" x14ac:dyDescent="0.3">
      <c r="A34" s="92">
        <v>20</v>
      </c>
      <c r="B34" s="92" t="str">
        <f t="shared" si="0"/>
        <v/>
      </c>
      <c r="C34" s="72"/>
      <c r="D34" s="73" t="str">
        <f>IF(B34="","",VLOOKUP($B34,'FEUILLE DE RESULTATS'!$N$14:$V$57,'RESULTAT FFBSPORTIF'!D$1,0))</f>
        <v/>
      </c>
      <c r="E34" s="77" t="str">
        <f>IF(B34="","",VLOOKUP($B34,'FEUILLE DE RESULTATS'!$N$14:$V$57,'RESULTAT FFBSPORTIF'!E$1,0))</f>
        <v/>
      </c>
      <c r="F34" s="77" t="str">
        <f>IF(B34="","",VLOOKUP($B34,'FEUILLE DE RESULTATS'!$N$14:$V$57,'RESULTAT FFBSPORTIF'!F$1,0))</f>
        <v/>
      </c>
      <c r="G34" s="78" t="str">
        <f>IF(B34="","",VLOOKUP($B34,'FEUILLE DE RESULTATS'!$N$14:$V$57,'RESULTAT FFBSPORTIF'!G$1,0))</f>
        <v/>
      </c>
      <c r="H34" s="73" t="str">
        <f>IF(B34="","",VLOOKUP($B34,'FEUILLE DE RESULTATS'!$N$14:$V$57,'RESULTAT FFBSPORTIF'!H$1,0))</f>
        <v/>
      </c>
      <c r="I34" s="77" t="str">
        <f>IF(B34="","",VLOOKUP($B34,'FEUILLE DE RESULTATS'!$N$14:$V$57,'RESULTAT FFBSPORTIF'!I$1,0))</f>
        <v/>
      </c>
    </row>
    <row r="35" spans="1:9" ht="12" customHeight="1" thickBot="1" x14ac:dyDescent="0.3">
      <c r="A35" s="92"/>
      <c r="B35" s="92">
        <f>IFERROR(B31+B32+B33+B34,0)</f>
        <v>0</v>
      </c>
    </row>
    <row r="36" spans="1:9" ht="12" customHeight="1" thickBot="1" x14ac:dyDescent="0.3">
      <c r="A36" s="92">
        <v>21</v>
      </c>
      <c r="B36" s="92" t="str">
        <f t="shared" si="0"/>
        <v/>
      </c>
      <c r="C36" s="70" t="str">
        <f>IF(B36="","",VLOOKUP($B36,'FEUILLE DE RESULTATS'!$N$14:$V$57,'RESULTAT FFBSPORTIF'!C$1,0))</f>
        <v/>
      </c>
      <c r="D36" s="71" t="str">
        <f>IF(B36="","",VLOOKUP($B36,'FEUILLE DE RESULTATS'!$N$14:$V$57,'RESULTAT FFBSPORTIF'!D$1,0))</f>
        <v/>
      </c>
      <c r="E36" s="74" t="str">
        <f>IF(B36="","",VLOOKUP($B36,'FEUILLE DE RESULTATS'!$N$14:$V$57,'RESULTAT FFBSPORTIF'!E$1,0))</f>
        <v/>
      </c>
      <c r="F36" s="75" t="str">
        <f>IF(B36="","",VLOOKUP($B36,'FEUILLE DE RESULTATS'!$N$14:$V$57,'RESULTAT FFBSPORTIF'!F$1,0))</f>
        <v/>
      </c>
      <c r="G36" s="71"/>
      <c r="H36" s="71"/>
      <c r="I36" s="76"/>
    </row>
    <row r="37" spans="1:9" ht="12" customHeight="1" thickBot="1" x14ac:dyDescent="0.3">
      <c r="A37" s="92">
        <v>22</v>
      </c>
      <c r="B37" s="92" t="str">
        <f t="shared" si="0"/>
        <v/>
      </c>
      <c r="C37" s="72"/>
      <c r="D37" s="73" t="str">
        <f>IF(B37="","",VLOOKUP($B37,'FEUILLE DE RESULTATS'!$N$14:$V$57,'RESULTAT FFBSPORTIF'!D$1,0))</f>
        <v/>
      </c>
      <c r="E37" s="74" t="str">
        <f>IF(B37="","",VLOOKUP($B37,'FEUILLE DE RESULTATS'!$N$14:$V$57,'RESULTAT FFBSPORTIF'!E$1,0))</f>
        <v/>
      </c>
      <c r="F37" s="81" t="str">
        <f>IF(B37="","",VLOOKUP($B37,'FEUILLE DE RESULTATS'!$N$14:$V$57,'RESULTAT FFBSPORTIF'!F$1,0))</f>
        <v/>
      </c>
      <c r="G37" s="78" t="str">
        <f>IF(B37="","",VLOOKUP($B37,'FEUILLE DE RESULTATS'!$N$14:$V$57,'RESULTAT FFBSPORTIF'!G$1,0))</f>
        <v/>
      </c>
      <c r="H37" s="73" t="str">
        <f>IF(B37="","",VLOOKUP($B37,'FEUILLE DE RESULTATS'!$N$14:$V$57,'RESULTAT FFBSPORTIF'!H$1,0))</f>
        <v/>
      </c>
      <c r="I37" s="77" t="str">
        <f>IF(B37="","",VLOOKUP($B37,'FEUILLE DE RESULTATS'!$N$14:$V$57,'RESULTAT FFBSPORTIF'!I$1,0))</f>
        <v/>
      </c>
    </row>
    <row r="38" spans="1:9" ht="12" customHeight="1" thickBot="1" x14ac:dyDescent="0.3">
      <c r="A38" s="92">
        <v>23</v>
      </c>
      <c r="B38" s="92" t="str">
        <f t="shared" si="0"/>
        <v/>
      </c>
      <c r="C38" s="70" t="str">
        <f>IF(B38="","",VLOOKUP($B38,'FEUILLE DE RESULTATS'!$N$14:$V$57,'RESULTAT FFBSPORTIF'!C$1,0))</f>
        <v/>
      </c>
      <c r="D38" s="71" t="str">
        <f>IF(B38="","",VLOOKUP($B38,'FEUILLE DE RESULTATS'!$N$14:$V$57,'RESULTAT FFBSPORTIF'!D$1,0))</f>
        <v/>
      </c>
      <c r="E38" s="74" t="str">
        <f>IF(B38="","",VLOOKUP($B38,'FEUILLE DE RESULTATS'!$N$14:$V$57,'RESULTAT FFBSPORTIF'!E$1,0))</f>
        <v/>
      </c>
      <c r="F38" s="75" t="str">
        <f>IF(B38="","",VLOOKUP($B38,'FEUILLE DE RESULTATS'!$N$14:$V$57,'RESULTAT FFBSPORTIF'!F$1,0))</f>
        <v/>
      </c>
      <c r="G38" s="71"/>
      <c r="H38" s="71"/>
      <c r="I38" s="76"/>
    </row>
    <row r="39" spans="1:9" ht="12" customHeight="1" thickBot="1" x14ac:dyDescent="0.3">
      <c r="A39" s="92">
        <v>24</v>
      </c>
      <c r="B39" s="92" t="str">
        <f t="shared" si="0"/>
        <v/>
      </c>
      <c r="C39" s="72"/>
      <c r="D39" s="73" t="str">
        <f>IF(B39="","",VLOOKUP($B39,'FEUILLE DE RESULTATS'!$N$14:$V$57,'RESULTAT FFBSPORTIF'!D$1,0))</f>
        <v/>
      </c>
      <c r="E39" s="77" t="str">
        <f>IF(B39="","",VLOOKUP($B39,'FEUILLE DE RESULTATS'!$N$14:$V$57,'RESULTAT FFBSPORTIF'!E$1,0))</f>
        <v/>
      </c>
      <c r="F39" s="77" t="str">
        <f>IF(B39="","",VLOOKUP($B39,'FEUILLE DE RESULTATS'!$N$14:$V$57,'RESULTAT FFBSPORTIF'!F$1,0))</f>
        <v/>
      </c>
      <c r="G39" s="78" t="str">
        <f>IF(B39="","",VLOOKUP($B39,'FEUILLE DE RESULTATS'!$N$14:$V$57,'RESULTAT FFBSPORTIF'!G$1,0))</f>
        <v/>
      </c>
      <c r="H39" s="73" t="str">
        <f>IF(B39="","",VLOOKUP($B39,'FEUILLE DE RESULTATS'!$N$14:$V$57,'RESULTAT FFBSPORTIF'!H$1,0))</f>
        <v/>
      </c>
      <c r="I39" s="77" t="str">
        <f>IF(B39="","",VLOOKUP($B39,'FEUILLE DE RESULTATS'!$N$14:$V$57,'RESULTAT FFBSPORTIF'!I$1,0))</f>
        <v/>
      </c>
    </row>
    <row r="40" spans="1:9" ht="12" customHeight="1" thickBot="1" x14ac:dyDescent="0.3">
      <c r="A40" s="92"/>
      <c r="B40" s="92">
        <f>IFERROR(B36+B37+B38+B39,0)</f>
        <v>0</v>
      </c>
    </row>
    <row r="41" spans="1:9" ht="12" customHeight="1" thickBot="1" x14ac:dyDescent="0.3">
      <c r="A41" s="92">
        <v>25</v>
      </c>
      <c r="B41" s="92" t="str">
        <f t="shared" si="0"/>
        <v/>
      </c>
      <c r="C41" s="70" t="str">
        <f>IF(B41="","",VLOOKUP($B41,'FEUILLE DE RESULTATS'!$N$14:$V$57,'RESULTAT FFBSPORTIF'!C$1,0))</f>
        <v/>
      </c>
      <c r="D41" s="71" t="str">
        <f>IF(B41="","",VLOOKUP($B41,'FEUILLE DE RESULTATS'!$N$14:$V$57,'RESULTAT FFBSPORTIF'!D$1,0))</f>
        <v/>
      </c>
      <c r="E41" s="74" t="str">
        <f>IF(B41="","",VLOOKUP($B41,'FEUILLE DE RESULTATS'!$N$14:$V$57,'RESULTAT FFBSPORTIF'!E$1,0))</f>
        <v/>
      </c>
      <c r="F41" s="75" t="str">
        <f>IF(B41="","",VLOOKUP($B41,'FEUILLE DE RESULTATS'!$N$14:$V$57,'RESULTAT FFBSPORTIF'!F$1,0))</f>
        <v/>
      </c>
      <c r="G41" s="71"/>
      <c r="H41" s="71"/>
      <c r="I41" s="76"/>
    </row>
    <row r="42" spans="1:9" ht="12" customHeight="1" thickBot="1" x14ac:dyDescent="0.3">
      <c r="A42" s="92">
        <v>26</v>
      </c>
      <c r="B42" s="92" t="str">
        <f t="shared" si="0"/>
        <v/>
      </c>
      <c r="C42" s="72"/>
      <c r="D42" s="73" t="str">
        <f>IF(B42="","",VLOOKUP($B42,'FEUILLE DE RESULTATS'!$N$14:$V$57,'RESULTAT FFBSPORTIF'!D$1,0))</f>
        <v/>
      </c>
      <c r="E42" s="74" t="str">
        <f>IF(B42="","",VLOOKUP($B42,'FEUILLE DE RESULTATS'!$N$14:$V$57,'RESULTAT FFBSPORTIF'!E$1,0))</f>
        <v/>
      </c>
      <c r="F42" s="81" t="str">
        <f>IF(B42="","",VLOOKUP($B42,'FEUILLE DE RESULTATS'!$N$14:$V$57,'RESULTAT FFBSPORTIF'!F$1,0))</f>
        <v/>
      </c>
      <c r="G42" s="78" t="str">
        <f>IF(B42="","",VLOOKUP($B42,'FEUILLE DE RESULTATS'!$N$14:$V$57,'RESULTAT FFBSPORTIF'!G$1,0))</f>
        <v/>
      </c>
      <c r="H42" s="73" t="str">
        <f>IF(B42="","",VLOOKUP($B42,'FEUILLE DE RESULTATS'!$N$14:$V$57,'RESULTAT FFBSPORTIF'!H$1,0))</f>
        <v/>
      </c>
      <c r="I42" s="77" t="str">
        <f>IF(B42="","",VLOOKUP($B42,'FEUILLE DE RESULTATS'!$N$14:$V$57,'RESULTAT FFBSPORTIF'!I$1,0))</f>
        <v/>
      </c>
    </row>
    <row r="43" spans="1:9" ht="12" customHeight="1" thickBot="1" x14ac:dyDescent="0.3">
      <c r="A43" s="92">
        <v>27</v>
      </c>
      <c r="B43" s="92" t="str">
        <f t="shared" si="0"/>
        <v/>
      </c>
      <c r="C43" s="70" t="str">
        <f>IF(B43="","",VLOOKUP($B43,'FEUILLE DE RESULTATS'!$N$14:$V$57,'RESULTAT FFBSPORTIF'!C$1,0))</f>
        <v/>
      </c>
      <c r="D43" s="71" t="str">
        <f>IF(B43="","",VLOOKUP($B43,'FEUILLE DE RESULTATS'!$N$14:$V$57,'RESULTAT FFBSPORTIF'!D$1,0))</f>
        <v/>
      </c>
      <c r="E43" s="74" t="str">
        <f>IF(B43="","",VLOOKUP($B43,'FEUILLE DE RESULTATS'!$N$14:$V$57,'RESULTAT FFBSPORTIF'!E$1,0))</f>
        <v/>
      </c>
      <c r="F43" s="75" t="str">
        <f>IF(B43="","",VLOOKUP($B43,'FEUILLE DE RESULTATS'!$N$14:$V$57,'RESULTAT FFBSPORTIF'!F$1,0))</f>
        <v/>
      </c>
      <c r="G43" s="71"/>
      <c r="H43" s="71"/>
      <c r="I43" s="76"/>
    </row>
    <row r="44" spans="1:9" ht="12" customHeight="1" thickBot="1" x14ac:dyDescent="0.3">
      <c r="A44" s="92">
        <v>28</v>
      </c>
      <c r="B44" s="92" t="str">
        <f t="shared" si="0"/>
        <v/>
      </c>
      <c r="C44" s="72"/>
      <c r="D44" s="73" t="str">
        <f>IF(B44="","",VLOOKUP($B44,'FEUILLE DE RESULTATS'!$N$14:$V$57,'RESULTAT FFBSPORTIF'!D$1,0))</f>
        <v/>
      </c>
      <c r="E44" s="77" t="str">
        <f>IF(B44="","",VLOOKUP($B44,'FEUILLE DE RESULTATS'!$N$14:$V$57,'RESULTAT FFBSPORTIF'!E$1,0))</f>
        <v/>
      </c>
      <c r="F44" s="77" t="str">
        <f>IF(B44="","",VLOOKUP($B44,'FEUILLE DE RESULTATS'!$N$14:$V$57,'RESULTAT FFBSPORTIF'!F$1,0))</f>
        <v/>
      </c>
      <c r="G44" s="78" t="str">
        <f>IF(B44="","",VLOOKUP($B44,'FEUILLE DE RESULTATS'!$N$14:$V$57,'RESULTAT FFBSPORTIF'!G$1,0))</f>
        <v/>
      </c>
      <c r="H44" s="73" t="str">
        <f>IF(B44="","",VLOOKUP($B44,'FEUILLE DE RESULTATS'!$N$14:$V$57,'RESULTAT FFBSPORTIF'!H$1,0))</f>
        <v/>
      </c>
      <c r="I44" s="77" t="str">
        <f>IF(B44="","",VLOOKUP($B44,'FEUILLE DE RESULTATS'!$N$14:$V$57,'RESULTAT FFBSPORTIF'!I$1,0))</f>
        <v/>
      </c>
    </row>
    <row r="45" spans="1:9" ht="12" customHeight="1" thickBot="1" x14ac:dyDescent="0.3">
      <c r="A45" s="92"/>
      <c r="B45" s="92">
        <f>IFERROR(B41+B42+B43+B44,0)</f>
        <v>0</v>
      </c>
    </row>
    <row r="46" spans="1:9" ht="12" customHeight="1" thickBot="1" x14ac:dyDescent="0.3">
      <c r="A46" s="92">
        <v>29</v>
      </c>
      <c r="B46" s="92" t="str">
        <f t="shared" si="0"/>
        <v/>
      </c>
      <c r="C46" s="70" t="str">
        <f>IF(B46="","",VLOOKUP($B46,'FEUILLE DE RESULTATS'!$N$14:$V$57,'RESULTAT FFBSPORTIF'!C$1,0))</f>
        <v/>
      </c>
      <c r="D46" s="71" t="str">
        <f>IF(B46="","",VLOOKUP($B46,'FEUILLE DE RESULTATS'!$N$14:$V$57,'RESULTAT FFBSPORTIF'!D$1,0))</f>
        <v/>
      </c>
      <c r="E46" s="74" t="str">
        <f>IF(B46="","",VLOOKUP($B46,'FEUILLE DE RESULTATS'!$N$14:$V$57,'RESULTAT FFBSPORTIF'!E$1,0))</f>
        <v/>
      </c>
      <c r="F46" s="75" t="str">
        <f>IF(B46="","",VLOOKUP($B46,'FEUILLE DE RESULTATS'!$N$14:$V$57,'RESULTAT FFBSPORTIF'!F$1,0))</f>
        <v/>
      </c>
      <c r="G46" s="71"/>
      <c r="H46" s="71"/>
      <c r="I46" s="76"/>
    </row>
    <row r="47" spans="1:9" ht="12" customHeight="1" thickBot="1" x14ac:dyDescent="0.3">
      <c r="A47" s="92">
        <v>30</v>
      </c>
      <c r="B47" s="92" t="str">
        <f t="shared" si="0"/>
        <v/>
      </c>
      <c r="C47" s="72"/>
      <c r="D47" s="73" t="str">
        <f>IF(B47="","",VLOOKUP($B47,'FEUILLE DE RESULTATS'!$N$14:$V$57,'RESULTAT FFBSPORTIF'!D$1,0))</f>
        <v/>
      </c>
      <c r="E47" s="74" t="str">
        <f>IF(B47="","",VLOOKUP($B47,'FEUILLE DE RESULTATS'!$N$14:$V$57,'RESULTAT FFBSPORTIF'!E$1,0))</f>
        <v/>
      </c>
      <c r="F47" s="81" t="str">
        <f>IF(B47="","",VLOOKUP($B47,'FEUILLE DE RESULTATS'!$N$14:$V$57,'RESULTAT FFBSPORTIF'!F$1,0))</f>
        <v/>
      </c>
      <c r="G47" s="78" t="str">
        <f>IF(B47="","",VLOOKUP($B47,'FEUILLE DE RESULTATS'!$N$14:$V$57,'RESULTAT FFBSPORTIF'!G$1,0))</f>
        <v/>
      </c>
      <c r="H47" s="73" t="str">
        <f>IF(B47="","",VLOOKUP($B47,'FEUILLE DE RESULTATS'!$N$14:$V$57,'RESULTAT FFBSPORTIF'!H$1,0))</f>
        <v/>
      </c>
      <c r="I47" s="77" t="str">
        <f>IF(B47="","",VLOOKUP($B47,'FEUILLE DE RESULTATS'!$N$14:$V$57,'RESULTAT FFBSPORTIF'!I$1,0))</f>
        <v/>
      </c>
    </row>
    <row r="48" spans="1:9" ht="12" customHeight="1" thickBot="1" x14ac:dyDescent="0.3">
      <c r="A48" s="92">
        <v>31</v>
      </c>
      <c r="B48" s="92" t="str">
        <f t="shared" si="0"/>
        <v/>
      </c>
      <c r="C48" s="70" t="str">
        <f>IF(B48="","",VLOOKUP($B48,'FEUILLE DE RESULTATS'!$N$14:$V$57,'RESULTAT FFBSPORTIF'!C$1,0))</f>
        <v/>
      </c>
      <c r="D48" s="71" t="str">
        <f>IF(B48="","",VLOOKUP($B48,'FEUILLE DE RESULTATS'!$N$14:$V$57,'RESULTAT FFBSPORTIF'!D$1,0))</f>
        <v/>
      </c>
      <c r="E48" s="74" t="str">
        <f>IF(B48="","",VLOOKUP($B48,'FEUILLE DE RESULTATS'!$N$14:$V$57,'RESULTAT FFBSPORTIF'!E$1,0))</f>
        <v/>
      </c>
      <c r="F48" s="75" t="str">
        <f>IF(B48="","",VLOOKUP($B48,'FEUILLE DE RESULTATS'!$N$14:$V$57,'RESULTAT FFBSPORTIF'!F$1,0))</f>
        <v/>
      </c>
      <c r="G48" s="71"/>
      <c r="H48" s="71"/>
      <c r="I48" s="76"/>
    </row>
    <row r="49" spans="1:9" ht="12" customHeight="1" thickBot="1" x14ac:dyDescent="0.3">
      <c r="A49" s="92">
        <v>32</v>
      </c>
      <c r="B49" s="92" t="str">
        <f t="shared" si="0"/>
        <v/>
      </c>
      <c r="C49" s="72"/>
      <c r="D49" s="73" t="str">
        <f>IF(B49="","",VLOOKUP($B49,'FEUILLE DE RESULTATS'!$N$14:$V$57,'RESULTAT FFBSPORTIF'!D$1,0))</f>
        <v/>
      </c>
      <c r="E49" s="77" t="str">
        <f>IF(B49="","",VLOOKUP($B49,'FEUILLE DE RESULTATS'!$N$14:$V$57,'RESULTAT FFBSPORTIF'!E$1,0))</f>
        <v/>
      </c>
      <c r="F49" s="77" t="str">
        <f>IF(B49="","",VLOOKUP($B49,'FEUILLE DE RESULTATS'!$N$14:$V$57,'RESULTAT FFBSPORTIF'!F$1,0))</f>
        <v/>
      </c>
      <c r="G49" s="78" t="str">
        <f>IF(B49="","",VLOOKUP($B49,'FEUILLE DE RESULTATS'!$N$14:$V$57,'RESULTAT FFBSPORTIF'!G$1,0))</f>
        <v/>
      </c>
      <c r="H49" s="73" t="str">
        <f>IF(B49="","",VLOOKUP($B49,'FEUILLE DE RESULTATS'!$N$14:$V$57,'RESULTAT FFBSPORTIF'!H$1,0))</f>
        <v/>
      </c>
      <c r="I49" s="77" t="str">
        <f>IF(B49="","",VLOOKUP($B49,'FEUILLE DE RESULTATS'!$N$14:$V$57,'RESULTAT FFBSPORTIF'!I$1,0))</f>
        <v/>
      </c>
    </row>
    <row r="50" spans="1:9" ht="12" customHeight="1" thickBot="1" x14ac:dyDescent="0.3">
      <c r="A50" s="92"/>
      <c r="B50" s="92">
        <f>IFERROR(B46+B47+B48+B49,0)</f>
        <v>0</v>
      </c>
    </row>
    <row r="51" spans="1:9" ht="12" customHeight="1" thickBot="1" x14ac:dyDescent="0.3">
      <c r="A51" s="92">
        <v>33</v>
      </c>
      <c r="B51" s="92" t="str">
        <f t="shared" si="0"/>
        <v/>
      </c>
      <c r="C51" s="70" t="str">
        <f>IF(B51="","",VLOOKUP($B51,'FEUILLE DE RESULTATS'!$N$14:$V$57,'RESULTAT FFBSPORTIF'!C$1,0))</f>
        <v/>
      </c>
      <c r="D51" s="71" t="str">
        <f>IF(B51="","",VLOOKUP($B51,'FEUILLE DE RESULTATS'!$N$14:$V$57,'RESULTAT FFBSPORTIF'!D$1,0))</f>
        <v/>
      </c>
      <c r="E51" s="74" t="str">
        <f>IF(B51="","",VLOOKUP($B51,'FEUILLE DE RESULTATS'!$N$14:$V$57,'RESULTAT FFBSPORTIF'!E$1,0))</f>
        <v/>
      </c>
      <c r="F51" s="75" t="str">
        <f>IF(B51="","",VLOOKUP($B51,'FEUILLE DE RESULTATS'!$N$14:$V$57,'RESULTAT FFBSPORTIF'!F$1,0))</f>
        <v/>
      </c>
      <c r="G51" s="71"/>
      <c r="H51" s="71"/>
      <c r="I51" s="76"/>
    </row>
    <row r="52" spans="1:9" ht="12" customHeight="1" thickBot="1" x14ac:dyDescent="0.3">
      <c r="A52" s="92">
        <v>34</v>
      </c>
      <c r="B52" s="92" t="str">
        <f t="shared" si="0"/>
        <v/>
      </c>
      <c r="C52" s="72"/>
      <c r="D52" s="73" t="str">
        <f>IF(B52="","",VLOOKUP($B52,'FEUILLE DE RESULTATS'!$N$14:$V$57,'RESULTAT FFBSPORTIF'!D$1,0))</f>
        <v/>
      </c>
      <c r="E52" s="74" t="str">
        <f>IF(B52="","",VLOOKUP($B52,'FEUILLE DE RESULTATS'!$N$14:$V$57,'RESULTAT FFBSPORTIF'!E$1,0))</f>
        <v/>
      </c>
      <c r="F52" s="81" t="str">
        <f>IF(B52="","",VLOOKUP($B52,'FEUILLE DE RESULTATS'!$N$14:$V$57,'RESULTAT FFBSPORTIF'!F$1,0))</f>
        <v/>
      </c>
      <c r="G52" s="78" t="str">
        <f>IF(B52="","",VLOOKUP($B52,'FEUILLE DE RESULTATS'!$N$14:$V$57,'RESULTAT FFBSPORTIF'!G$1,0))</f>
        <v/>
      </c>
      <c r="H52" s="73" t="str">
        <f>IF(B52="","",VLOOKUP($B52,'FEUILLE DE RESULTATS'!$N$14:$V$57,'RESULTAT FFBSPORTIF'!H$1,0))</f>
        <v/>
      </c>
      <c r="I52" s="77" t="str">
        <f>IF(B52="","",VLOOKUP($B52,'FEUILLE DE RESULTATS'!$N$14:$V$57,'RESULTAT FFBSPORTIF'!I$1,0))</f>
        <v/>
      </c>
    </row>
    <row r="53" spans="1:9" ht="12" customHeight="1" thickBot="1" x14ac:dyDescent="0.3">
      <c r="A53" s="92">
        <v>35</v>
      </c>
      <c r="B53" s="92" t="str">
        <f t="shared" si="0"/>
        <v/>
      </c>
      <c r="C53" s="70" t="str">
        <f>IF(B53="","",VLOOKUP($B53,'FEUILLE DE RESULTATS'!$N$14:$V$57,'RESULTAT FFBSPORTIF'!C$1,0))</f>
        <v/>
      </c>
      <c r="D53" s="71" t="str">
        <f>IF(B53="","",VLOOKUP($B53,'FEUILLE DE RESULTATS'!$N$14:$V$57,'RESULTAT FFBSPORTIF'!D$1,0))</f>
        <v/>
      </c>
      <c r="E53" s="74" t="str">
        <f>IF(B53="","",VLOOKUP($B53,'FEUILLE DE RESULTATS'!$N$14:$V$57,'RESULTAT FFBSPORTIF'!E$1,0))</f>
        <v/>
      </c>
      <c r="F53" s="75" t="str">
        <f>IF(B53="","",VLOOKUP($B53,'FEUILLE DE RESULTATS'!$N$14:$V$57,'RESULTAT FFBSPORTIF'!F$1,0))</f>
        <v/>
      </c>
      <c r="G53" s="71"/>
      <c r="H53" s="71"/>
      <c r="I53" s="76"/>
    </row>
    <row r="54" spans="1:9" ht="12" customHeight="1" thickBot="1" x14ac:dyDescent="0.3">
      <c r="A54" s="92">
        <v>36</v>
      </c>
      <c r="B54" s="92" t="str">
        <f t="shared" si="0"/>
        <v/>
      </c>
      <c r="C54" s="72"/>
      <c r="D54" s="73" t="str">
        <f>IF(B54="","",VLOOKUP($B54,'FEUILLE DE RESULTATS'!$N$14:$V$57,'RESULTAT FFBSPORTIF'!D$1,0))</f>
        <v/>
      </c>
      <c r="E54" s="77" t="str">
        <f>IF(B54="","",VLOOKUP($B54,'FEUILLE DE RESULTATS'!$N$14:$V$57,'RESULTAT FFBSPORTIF'!E$1,0))</f>
        <v/>
      </c>
      <c r="F54" s="77" t="str">
        <f>IF(B54="","",VLOOKUP($B54,'FEUILLE DE RESULTATS'!$N$14:$V$57,'RESULTAT FFBSPORTIF'!F$1,0))</f>
        <v/>
      </c>
      <c r="G54" s="78" t="str">
        <f>IF(B54="","",VLOOKUP($B54,'FEUILLE DE RESULTATS'!$N$14:$V$57,'RESULTAT FFBSPORTIF'!G$1,0))</f>
        <v/>
      </c>
      <c r="H54" s="73" t="str">
        <f>IF(B54="","",VLOOKUP($B54,'FEUILLE DE RESULTATS'!$N$14:$V$57,'RESULTAT FFBSPORTIF'!H$1,0))</f>
        <v/>
      </c>
      <c r="I54" s="77" t="str">
        <f>IF(B54="","",VLOOKUP($B54,'FEUILLE DE RESULTATS'!$N$14:$V$57,'RESULTAT FFBSPORTIF'!I$1,0))</f>
        <v/>
      </c>
    </row>
    <row r="55" spans="1:9" ht="12" customHeight="1" x14ac:dyDescent="0.25">
      <c r="A55" s="92"/>
      <c r="B55" s="92">
        <f>IFERROR(B51+B52+B53+B54,0)</f>
        <v>0</v>
      </c>
    </row>
  </sheetData>
  <sheetProtection selectLockedCells="1"/>
  <mergeCells count="2">
    <mergeCell ref="C2:I5"/>
    <mergeCell ref="F9:G9"/>
  </mergeCells>
  <conditionalFormatting sqref="C11:I14">
    <cfRule type="expression" dxfId="12" priority="5">
      <formula>$B$15=0</formula>
    </cfRule>
  </conditionalFormatting>
  <conditionalFormatting sqref="C16:I19">
    <cfRule type="expression" dxfId="11" priority="6">
      <formula>$B$20=0</formula>
    </cfRule>
  </conditionalFormatting>
  <conditionalFormatting sqref="C21:I24">
    <cfRule type="expression" dxfId="10" priority="7">
      <formula>$B$25=0</formula>
    </cfRule>
  </conditionalFormatting>
  <conditionalFormatting sqref="C26:I29">
    <cfRule type="expression" dxfId="9" priority="8">
      <formula>$B$30=0</formula>
    </cfRule>
  </conditionalFormatting>
  <conditionalFormatting sqref="C31:I34">
    <cfRule type="expression" dxfId="8" priority="9">
      <formula>$B$35=0</formula>
    </cfRule>
  </conditionalFormatting>
  <conditionalFormatting sqref="C36:I39">
    <cfRule type="expression" dxfId="7" priority="10">
      <formula>$B$40=0</formula>
    </cfRule>
  </conditionalFormatting>
  <conditionalFormatting sqref="C41:I44">
    <cfRule type="expression" dxfId="6" priority="11">
      <formula>$B$45=0</formula>
    </cfRule>
  </conditionalFormatting>
  <conditionalFormatting sqref="C46:I49">
    <cfRule type="expression" dxfId="5" priority="12">
      <formula>$B$50=0</formula>
    </cfRule>
  </conditionalFormatting>
  <conditionalFormatting sqref="C51:I54">
    <cfRule type="expression" dxfId="4" priority="13">
      <formula>$B$55=0</formula>
    </cfRule>
  </conditionalFormatting>
  <conditionalFormatting sqref="E11:E14">
    <cfRule type="notContainsBlanks" dxfId="3" priority="16">
      <formula>LEN(TRIM(E11))&gt;0</formula>
    </cfRule>
  </conditionalFormatting>
  <conditionalFormatting sqref="E16:E19 F17:G17 I17 F19:G19 I19 E21:E24 F22:G22 I22 F24:G24 I24 E26:E29 F27:G27 I27 F29:G29 I29 E31:E34 F32:G32 I32 F34:G34 I34 E36:E39 F37:G37 I37 F39:G39 I39">
    <cfRule type="notContainsBlanks" dxfId="2" priority="15">
      <formula>LEN(TRIM(E16))&gt;0</formula>
    </cfRule>
  </conditionalFormatting>
  <conditionalFormatting sqref="E41:E44 F42:G42 I42 F44:G44 I44 E46:E49 F47:G47 I47 F49:G49 I49 E51:E54 F52:G52 I52 F54:G54 I54">
    <cfRule type="notContainsBlanks" dxfId="1" priority="14">
      <formula>LEN(TRIM(E41))&gt;0</formula>
    </cfRule>
  </conditionalFormatting>
  <conditionalFormatting sqref="F12:G12 I12 F14:G14 I14">
    <cfRule type="notContainsBlanks" dxfId="0" priority="17">
      <formula>LEN(TRIM(F12))&gt;0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913D-00FD-4C51-9F99-58566422B1BF}">
  <sheetPr codeName="Feuil5">
    <tabColor rgb="FFFFFF00"/>
  </sheetPr>
  <dimension ref="A2:G21"/>
  <sheetViews>
    <sheetView showGridLines="0" workbookViewId="0">
      <selection activeCell="B10" sqref="B10:G21"/>
    </sheetView>
  </sheetViews>
  <sheetFormatPr baseColWidth="10" defaultRowHeight="15" x14ac:dyDescent="0.25"/>
  <cols>
    <col min="2" max="2" width="52" bestFit="1" customWidth="1"/>
  </cols>
  <sheetData>
    <row r="2" spans="1:7" ht="31.5" x14ac:dyDescent="0.5">
      <c r="B2" s="236" t="s">
        <v>367</v>
      </c>
    </row>
    <row r="4" spans="1:7" x14ac:dyDescent="0.25">
      <c r="A4" s="239" t="s">
        <v>368</v>
      </c>
      <c r="B4" s="237">
        <f>'INSCRIPTION DES JOUEURS'!E9</f>
        <v>0</v>
      </c>
    </row>
    <row r="5" spans="1:7" x14ac:dyDescent="0.25">
      <c r="A5" s="239" t="s">
        <v>369</v>
      </c>
      <c r="B5" s="238">
        <f>'INSCRIPTION DES JOUEURS'!E10</f>
        <v>0</v>
      </c>
    </row>
    <row r="6" spans="1:7" x14ac:dyDescent="0.25">
      <c r="A6" s="239" t="s">
        <v>370</v>
      </c>
      <c r="B6" s="238">
        <f>'INSCRIPTION DES JOUEURS'!E7</f>
        <v>0</v>
      </c>
    </row>
    <row r="7" spans="1:7" x14ac:dyDescent="0.25">
      <c r="A7" s="239"/>
      <c r="B7" s="1"/>
    </row>
    <row r="8" spans="1:7" x14ac:dyDescent="0.25">
      <c r="A8" s="239"/>
      <c r="B8" s="1"/>
    </row>
    <row r="9" spans="1:7" ht="18.75" x14ac:dyDescent="0.4">
      <c r="A9" s="79"/>
      <c r="B9" s="307" t="s">
        <v>371</v>
      </c>
      <c r="C9" s="307"/>
      <c r="D9" s="307"/>
      <c r="E9" s="307"/>
      <c r="F9" s="307"/>
      <c r="G9" s="307"/>
    </row>
    <row r="10" spans="1:7" ht="18.75" x14ac:dyDescent="0.4">
      <c r="A10" s="240" t="s">
        <v>372</v>
      </c>
      <c r="B10" s="298"/>
      <c r="C10" s="299"/>
      <c r="D10" s="299"/>
      <c r="E10" s="299"/>
      <c r="F10" s="299"/>
      <c r="G10" s="300"/>
    </row>
    <row r="11" spans="1:7" x14ac:dyDescent="0.25">
      <c r="B11" s="301"/>
      <c r="C11" s="302"/>
      <c r="D11" s="302"/>
      <c r="E11" s="302"/>
      <c r="F11" s="302"/>
      <c r="G11" s="303"/>
    </row>
    <row r="12" spans="1:7" x14ac:dyDescent="0.25">
      <c r="B12" s="301"/>
      <c r="C12" s="302"/>
      <c r="D12" s="302"/>
      <c r="E12" s="302"/>
      <c r="F12" s="302"/>
      <c r="G12" s="303"/>
    </row>
    <row r="13" spans="1:7" x14ac:dyDescent="0.25">
      <c r="B13" s="301"/>
      <c r="C13" s="302"/>
      <c r="D13" s="302"/>
      <c r="E13" s="302"/>
      <c r="F13" s="302"/>
      <c r="G13" s="303"/>
    </row>
    <row r="14" spans="1:7" x14ac:dyDescent="0.25">
      <c r="B14" s="301"/>
      <c r="C14" s="302"/>
      <c r="D14" s="302"/>
      <c r="E14" s="302"/>
      <c r="F14" s="302"/>
      <c r="G14" s="303"/>
    </row>
    <row r="15" spans="1:7" x14ac:dyDescent="0.25">
      <c r="B15" s="301"/>
      <c r="C15" s="302"/>
      <c r="D15" s="302"/>
      <c r="E15" s="302"/>
      <c r="F15" s="302"/>
      <c r="G15" s="303"/>
    </row>
    <row r="16" spans="1:7" x14ac:dyDescent="0.25">
      <c r="B16" s="301"/>
      <c r="C16" s="302"/>
      <c r="D16" s="302"/>
      <c r="E16" s="302"/>
      <c r="F16" s="302"/>
      <c r="G16" s="303"/>
    </row>
    <row r="17" spans="2:7" x14ac:dyDescent="0.25">
      <c r="B17" s="301"/>
      <c r="C17" s="302"/>
      <c r="D17" s="302"/>
      <c r="E17" s="302"/>
      <c r="F17" s="302"/>
      <c r="G17" s="303"/>
    </row>
    <row r="18" spans="2:7" x14ac:dyDescent="0.25">
      <c r="B18" s="301"/>
      <c r="C18" s="302"/>
      <c r="D18" s="302"/>
      <c r="E18" s="302"/>
      <c r="F18" s="302"/>
      <c r="G18" s="303"/>
    </row>
    <row r="19" spans="2:7" x14ac:dyDescent="0.25">
      <c r="B19" s="301"/>
      <c r="C19" s="302"/>
      <c r="D19" s="302"/>
      <c r="E19" s="302"/>
      <c r="F19" s="302"/>
      <c r="G19" s="303"/>
    </row>
    <row r="20" spans="2:7" x14ac:dyDescent="0.25">
      <c r="B20" s="301"/>
      <c r="C20" s="302"/>
      <c r="D20" s="302"/>
      <c r="E20" s="302"/>
      <c r="F20" s="302"/>
      <c r="G20" s="303"/>
    </row>
    <row r="21" spans="2:7" x14ac:dyDescent="0.25">
      <c r="B21" s="304"/>
      <c r="C21" s="305"/>
      <c r="D21" s="305"/>
      <c r="E21" s="305"/>
      <c r="F21" s="305"/>
      <c r="G21" s="306"/>
    </row>
  </sheetData>
  <sheetProtection algorithmName="SHA-512" hashValue="xUdbCUvdZYBSDzNgOgwopEk4OKiGMNv6gFw7p99P3trTGMSYT6CsQGg6LKiiTeUP8L1Dh4r/HD4kM9PMRCCRHw==" saltValue="QEVXaFXrYRZWPJjj3xo8Sg==" spinCount="100000" sheet="1" objects="1" scenarios="1"/>
  <mergeCells count="2">
    <mergeCell ref="B10:G21"/>
    <mergeCell ref="B9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BL609"/>
  <sheetViews>
    <sheetView tabSelected="1" zoomScale="70" zoomScaleNormal="70" workbookViewId="0">
      <selection activeCell="Q32" sqref="Q32"/>
    </sheetView>
  </sheetViews>
  <sheetFormatPr baseColWidth="10" defaultRowHeight="15" x14ac:dyDescent="0.25"/>
  <cols>
    <col min="1" max="1" width="10.140625" style="1" bestFit="1" customWidth="1"/>
    <col min="2" max="2" width="19.7109375" style="1" bestFit="1" customWidth="1"/>
    <col min="3" max="3" width="9.42578125" style="1" bestFit="1" customWidth="1"/>
    <col min="4" max="4" width="15.42578125" style="1" customWidth="1"/>
    <col min="5" max="5" width="2.7109375" customWidth="1"/>
    <col min="6" max="6" width="10.140625" style="1" bestFit="1" customWidth="1"/>
    <col min="7" max="7" width="20.140625" style="1" bestFit="1" customWidth="1"/>
    <col min="8" max="8" width="9.42578125" style="1" bestFit="1" customWidth="1"/>
    <col min="9" max="9" width="15.42578125" style="1" bestFit="1" customWidth="1"/>
    <col min="10" max="10" width="2.28515625" customWidth="1"/>
    <col min="11" max="11" width="11.5703125" style="1" bestFit="1" customWidth="1"/>
    <col min="12" max="12" width="17.28515625" style="1" bestFit="1" customWidth="1"/>
    <col min="13" max="13" width="10.140625" style="1" bestFit="1" customWidth="1"/>
    <col min="14" max="14" width="16.28515625" style="1" bestFit="1" customWidth="1"/>
    <col min="15" max="15" width="1.85546875" customWidth="1"/>
    <col min="16" max="16" width="11.5703125" style="1" bestFit="1" customWidth="1"/>
    <col min="17" max="17" width="22.5703125" style="1" bestFit="1" customWidth="1"/>
    <col min="18" max="18" width="10.140625" style="1" bestFit="1" customWidth="1"/>
    <col min="19" max="19" width="15.7109375" style="1" bestFit="1" customWidth="1"/>
    <col min="20" max="20" width="1.5703125" customWidth="1"/>
    <col min="21" max="21" width="11.5703125" style="1" bestFit="1" customWidth="1"/>
    <col min="22" max="22" width="22.5703125" style="1" bestFit="1" customWidth="1"/>
    <col min="23" max="23" width="10.140625" style="1" bestFit="1" customWidth="1"/>
    <col min="24" max="24" width="16.42578125" style="1" bestFit="1" customWidth="1"/>
    <col min="25" max="25" width="1.7109375" customWidth="1"/>
    <col min="26" max="26" width="11.5703125" style="1" bestFit="1" customWidth="1"/>
    <col min="27" max="27" width="21" style="1" bestFit="1" customWidth="1"/>
    <col min="28" max="28" width="10.140625" style="1" bestFit="1" customWidth="1"/>
    <col min="29" max="29" width="16.28515625" style="1" bestFit="1" customWidth="1"/>
    <col min="30" max="30" width="1.42578125" customWidth="1"/>
    <col min="31" max="31" width="11.5703125" style="1" bestFit="1" customWidth="1"/>
    <col min="32" max="32" width="21.42578125" style="1" bestFit="1" customWidth="1"/>
    <col min="33" max="33" width="10.140625" style="1" bestFit="1" customWidth="1"/>
    <col min="34" max="34" width="13.85546875" style="1" bestFit="1" customWidth="1"/>
    <col min="35" max="35" width="1.5703125" customWidth="1"/>
    <col min="37" max="37" width="21.42578125" bestFit="1" customWidth="1"/>
    <col min="38" max="38" width="10.140625" bestFit="1" customWidth="1"/>
    <col min="39" max="39" width="16.42578125" bestFit="1" customWidth="1"/>
    <col min="40" max="40" width="1" customWidth="1"/>
    <col min="42" max="42" width="27.28515625" bestFit="1" customWidth="1"/>
    <col min="43" max="43" width="10.140625" bestFit="1" customWidth="1"/>
    <col min="44" max="44" width="16.42578125" bestFit="1" customWidth="1"/>
    <col min="45" max="45" width="1.140625" customWidth="1"/>
    <col min="49" max="49" width="11.42578125" customWidth="1"/>
    <col min="50" max="50" width="1.28515625" customWidth="1"/>
    <col min="51" max="51" width="11.5703125" style="1" bestFit="1" customWidth="1"/>
    <col min="52" max="52" width="22.140625" style="1" bestFit="1" customWidth="1"/>
    <col min="53" max="53" width="10.140625" style="1" bestFit="1" customWidth="1"/>
    <col min="54" max="54" width="16.28515625" style="1" bestFit="1" customWidth="1"/>
    <col min="55" max="55" width="1.5703125" style="1" customWidth="1"/>
    <col min="56" max="56" width="11.5703125" style="1" bestFit="1" customWidth="1"/>
    <col min="57" max="57" width="22.5703125" style="1" bestFit="1" customWidth="1"/>
    <col min="58" max="58" width="10.140625" style="1" bestFit="1" customWidth="1"/>
    <col min="59" max="59" width="15.7109375" style="1" bestFit="1" customWidth="1"/>
    <col min="60" max="60" width="1.42578125" style="1" customWidth="1"/>
    <col min="61" max="61" width="11.5703125" style="1" bestFit="1" customWidth="1"/>
    <col min="62" max="62" width="20.5703125" style="1" bestFit="1" customWidth="1"/>
    <col min="63" max="63" width="10.140625" style="1" bestFit="1" customWidth="1"/>
    <col min="64" max="64" width="13.85546875" style="1" bestFit="1" customWidth="1"/>
  </cols>
  <sheetData>
    <row r="1" spans="1:64" x14ac:dyDescent="0.25">
      <c r="A1" s="260" t="s">
        <v>247</v>
      </c>
      <c r="B1" s="260" t="s">
        <v>349</v>
      </c>
      <c r="C1" s="260"/>
      <c r="D1" s="260"/>
      <c r="F1" s="260" t="s">
        <v>247</v>
      </c>
      <c r="G1" s="260" t="s">
        <v>352</v>
      </c>
      <c r="H1" s="260"/>
      <c r="I1" s="260"/>
      <c r="K1" s="261" t="s">
        <v>363</v>
      </c>
      <c r="L1" s="261" t="s">
        <v>349</v>
      </c>
      <c r="M1" s="261"/>
      <c r="N1" s="261"/>
      <c r="P1" s="261" t="s">
        <v>363</v>
      </c>
      <c r="Q1" s="261" t="s">
        <v>352</v>
      </c>
      <c r="R1" s="261"/>
      <c r="S1" s="261"/>
      <c r="U1" s="261" t="s">
        <v>363</v>
      </c>
      <c r="V1" s="261" t="s">
        <v>353</v>
      </c>
      <c r="W1" s="261"/>
      <c r="X1" s="261"/>
      <c r="Z1" s="261" t="s">
        <v>363</v>
      </c>
      <c r="AA1" s="261" t="s">
        <v>354</v>
      </c>
      <c r="AB1" s="261"/>
      <c r="AC1" s="261"/>
      <c r="AE1" s="261" t="s">
        <v>363</v>
      </c>
      <c r="AF1" s="261" t="s">
        <v>355</v>
      </c>
      <c r="AG1" s="261"/>
      <c r="AH1" s="261"/>
      <c r="AJ1" s="262" t="s">
        <v>228</v>
      </c>
      <c r="AK1" s="262" t="s">
        <v>349</v>
      </c>
      <c r="AL1" s="262"/>
      <c r="AM1" s="262"/>
      <c r="AN1" s="3"/>
      <c r="AO1" s="262" t="s">
        <v>228</v>
      </c>
      <c r="AP1" s="262" t="s">
        <v>352</v>
      </c>
      <c r="AQ1" s="262"/>
      <c r="AR1" s="262"/>
      <c r="AT1" s="263" t="s">
        <v>228</v>
      </c>
      <c r="AU1" s="263" t="s">
        <v>353</v>
      </c>
      <c r="AV1" s="263"/>
      <c r="AW1" s="263"/>
      <c r="AY1" s="264" t="s">
        <v>364</v>
      </c>
      <c r="AZ1" s="264" t="s">
        <v>349</v>
      </c>
      <c r="BA1" s="264"/>
      <c r="BB1" s="264"/>
      <c r="BD1" s="264" t="s">
        <v>364</v>
      </c>
      <c r="BE1" s="264" t="s">
        <v>352</v>
      </c>
      <c r="BF1" s="264"/>
      <c r="BG1" s="264"/>
      <c r="BI1" s="264" t="s">
        <v>364</v>
      </c>
      <c r="BJ1" s="264" t="s">
        <v>353</v>
      </c>
      <c r="BK1" s="264"/>
      <c r="BL1" s="264"/>
    </row>
    <row r="2" spans="1:64" x14ac:dyDescent="0.25">
      <c r="A2" s="260" t="s">
        <v>148</v>
      </c>
      <c r="B2" s="260" t="s">
        <v>149</v>
      </c>
      <c r="C2" s="260" t="s">
        <v>150</v>
      </c>
      <c r="D2" s="260" t="s">
        <v>350</v>
      </c>
      <c r="F2" s="260" t="s">
        <v>148</v>
      </c>
      <c r="G2" s="260" t="s">
        <v>149</v>
      </c>
      <c r="H2" s="260" t="s">
        <v>150</v>
      </c>
      <c r="I2" s="260" t="s">
        <v>350</v>
      </c>
      <c r="K2" s="261" t="s">
        <v>148</v>
      </c>
      <c r="L2" s="261" t="s">
        <v>149</v>
      </c>
      <c r="M2" s="261" t="s">
        <v>150</v>
      </c>
      <c r="N2" s="261" t="s">
        <v>350</v>
      </c>
      <c r="P2" s="261" t="s">
        <v>148</v>
      </c>
      <c r="Q2" s="261" t="s">
        <v>149</v>
      </c>
      <c r="R2" s="261" t="s">
        <v>150</v>
      </c>
      <c r="S2" s="261" t="s">
        <v>350</v>
      </c>
      <c r="U2" s="261" t="s">
        <v>148</v>
      </c>
      <c r="V2" s="261" t="s">
        <v>149</v>
      </c>
      <c r="W2" s="261" t="s">
        <v>150</v>
      </c>
      <c r="X2" s="261" t="s">
        <v>350</v>
      </c>
      <c r="Z2" s="261" t="s">
        <v>148</v>
      </c>
      <c r="AA2" s="261" t="s">
        <v>149</v>
      </c>
      <c r="AB2" s="261" t="s">
        <v>150</v>
      </c>
      <c r="AC2" s="261" t="s">
        <v>350</v>
      </c>
      <c r="AE2" s="261" t="s">
        <v>148</v>
      </c>
      <c r="AF2" s="261" t="s">
        <v>149</v>
      </c>
      <c r="AG2" s="261" t="s">
        <v>150</v>
      </c>
      <c r="AH2" s="261" t="s">
        <v>350</v>
      </c>
      <c r="AJ2" s="262" t="s">
        <v>148</v>
      </c>
      <c r="AK2" s="262" t="s">
        <v>149</v>
      </c>
      <c r="AL2" s="262" t="s">
        <v>150</v>
      </c>
      <c r="AM2" s="262" t="s">
        <v>350</v>
      </c>
      <c r="AN2" s="3"/>
      <c r="AO2" s="262" t="s">
        <v>148</v>
      </c>
      <c r="AP2" s="262" t="s">
        <v>149</v>
      </c>
      <c r="AQ2" s="262" t="s">
        <v>150</v>
      </c>
      <c r="AR2" s="262" t="s">
        <v>350</v>
      </c>
      <c r="AT2" s="265" t="s">
        <v>148</v>
      </c>
      <c r="AU2" s="265" t="s">
        <v>149</v>
      </c>
      <c r="AV2" s="265" t="s">
        <v>150</v>
      </c>
      <c r="AW2" s="265" t="s">
        <v>350</v>
      </c>
      <c r="AY2" s="264" t="s">
        <v>148</v>
      </c>
      <c r="AZ2" s="264" t="s">
        <v>149</v>
      </c>
      <c r="BA2" s="264" t="s">
        <v>150</v>
      </c>
      <c r="BB2" s="264" t="s">
        <v>350</v>
      </c>
      <c r="BD2" s="264" t="s">
        <v>148</v>
      </c>
      <c r="BE2" s="264" t="s">
        <v>149</v>
      </c>
      <c r="BF2" s="264" t="s">
        <v>150</v>
      </c>
      <c r="BG2" s="264" t="s">
        <v>350</v>
      </c>
      <c r="BI2" s="264" t="s">
        <v>148</v>
      </c>
      <c r="BJ2" s="264" t="s">
        <v>149</v>
      </c>
      <c r="BK2" s="264" t="s">
        <v>150</v>
      </c>
      <c r="BL2" s="264" t="s">
        <v>350</v>
      </c>
    </row>
    <row r="3" spans="1:64" x14ac:dyDescent="0.25">
      <c r="A3" s="251" t="s">
        <v>393</v>
      </c>
      <c r="B3" s="251" t="s">
        <v>52</v>
      </c>
      <c r="C3" s="257">
        <v>7.27</v>
      </c>
      <c r="D3" s="251" t="s">
        <v>156</v>
      </c>
      <c r="E3" s="252"/>
      <c r="F3" s="251" t="s">
        <v>402</v>
      </c>
      <c r="G3" s="251" t="s">
        <v>23</v>
      </c>
      <c r="H3" s="251">
        <v>4.38</v>
      </c>
      <c r="I3" s="251" t="s">
        <v>156</v>
      </c>
      <c r="J3" s="252"/>
      <c r="K3" s="253" t="s">
        <v>394</v>
      </c>
      <c r="L3" s="253" t="s">
        <v>376</v>
      </c>
      <c r="M3" s="253">
        <v>7.38</v>
      </c>
      <c r="N3" s="258" t="s">
        <v>162</v>
      </c>
      <c r="O3" s="252"/>
      <c r="P3" s="253" t="s">
        <v>439</v>
      </c>
      <c r="Q3" s="253" t="s">
        <v>37</v>
      </c>
      <c r="R3" s="253">
        <v>5.64</v>
      </c>
      <c r="S3" s="253" t="s">
        <v>156</v>
      </c>
      <c r="T3" s="252"/>
      <c r="U3" s="253" t="s">
        <v>412</v>
      </c>
      <c r="V3" s="253" t="s">
        <v>386</v>
      </c>
      <c r="W3" s="253">
        <v>3.73</v>
      </c>
      <c r="X3" s="253" t="s">
        <v>182</v>
      </c>
      <c r="Y3" s="252"/>
      <c r="Z3" s="253" t="s">
        <v>415</v>
      </c>
      <c r="AA3" s="253" t="s">
        <v>59</v>
      </c>
      <c r="AB3" s="253">
        <v>2.21</v>
      </c>
      <c r="AC3" s="253" t="s">
        <v>170</v>
      </c>
      <c r="AD3" s="252"/>
      <c r="AE3" s="253" t="s">
        <v>438</v>
      </c>
      <c r="AF3" s="253" t="s">
        <v>391</v>
      </c>
      <c r="AG3" s="253">
        <v>0.6</v>
      </c>
      <c r="AH3" s="253" t="s">
        <v>162</v>
      </c>
      <c r="AI3" s="252"/>
      <c r="AJ3" s="254"/>
      <c r="AK3" s="254"/>
      <c r="AL3" s="254"/>
      <c r="AM3" s="254"/>
      <c r="AN3" s="189"/>
      <c r="AO3" s="254"/>
      <c r="AP3" s="254"/>
      <c r="AQ3" s="254"/>
      <c r="AR3" s="254"/>
      <c r="AS3" s="252"/>
      <c r="AT3" s="259"/>
      <c r="AU3" s="259"/>
      <c r="AV3" s="259"/>
      <c r="AW3" s="259"/>
      <c r="AX3" s="252"/>
      <c r="AY3" s="255"/>
      <c r="AZ3" s="255"/>
      <c r="BA3" s="255"/>
      <c r="BB3" s="255"/>
      <c r="BC3" s="256"/>
      <c r="BD3" s="255"/>
      <c r="BE3" s="255"/>
      <c r="BF3" s="255"/>
      <c r="BG3" s="255"/>
      <c r="BH3" s="256"/>
      <c r="BI3" s="255"/>
      <c r="BJ3" s="255"/>
      <c r="BK3" s="255"/>
      <c r="BL3" s="255"/>
    </row>
    <row r="4" spans="1:64" x14ac:dyDescent="0.25">
      <c r="A4" s="251" t="s">
        <v>394</v>
      </c>
      <c r="B4" s="251" t="s">
        <v>376</v>
      </c>
      <c r="C4" s="257">
        <v>5.45</v>
      </c>
      <c r="D4" s="251" t="s">
        <v>162</v>
      </c>
      <c r="E4" s="252"/>
      <c r="F4" s="251" t="s">
        <v>403</v>
      </c>
      <c r="G4" s="251" t="s">
        <v>21</v>
      </c>
      <c r="H4" s="251">
        <v>4.1100000000000003</v>
      </c>
      <c r="I4" s="251" t="s">
        <v>164</v>
      </c>
      <c r="J4" s="252"/>
      <c r="K4" s="253" t="s">
        <v>435</v>
      </c>
      <c r="L4" s="253" t="s">
        <v>373</v>
      </c>
      <c r="M4" s="253">
        <v>6.57</v>
      </c>
      <c r="N4" s="258" t="s">
        <v>154</v>
      </c>
      <c r="O4" s="252"/>
      <c r="P4" s="253" t="s">
        <v>395</v>
      </c>
      <c r="Q4" s="253" t="s">
        <v>36</v>
      </c>
      <c r="R4" s="253">
        <v>5.16</v>
      </c>
      <c r="S4" s="253" t="s">
        <v>156</v>
      </c>
      <c r="T4" s="252"/>
      <c r="U4" s="253" t="s">
        <v>403</v>
      </c>
      <c r="V4" s="253" t="s">
        <v>21</v>
      </c>
      <c r="W4" s="253">
        <v>3.3</v>
      </c>
      <c r="X4" s="253" t="s">
        <v>164</v>
      </c>
      <c r="Y4" s="252"/>
      <c r="Z4" s="253" t="s">
        <v>416</v>
      </c>
      <c r="AA4" s="253" t="s">
        <v>72</v>
      </c>
      <c r="AB4" s="253">
        <v>2.16</v>
      </c>
      <c r="AC4" s="253" t="s">
        <v>182</v>
      </c>
      <c r="AD4" s="252"/>
      <c r="AE4" s="253"/>
      <c r="AF4" s="253"/>
      <c r="AG4" s="253"/>
      <c r="AH4" s="253"/>
      <c r="AI4" s="252"/>
      <c r="AJ4" s="254"/>
      <c r="AK4" s="254"/>
      <c r="AL4" s="254"/>
      <c r="AM4" s="254"/>
      <c r="AN4" s="189"/>
      <c r="AO4" s="254"/>
      <c r="AP4" s="254"/>
      <c r="AQ4" s="254"/>
      <c r="AR4" s="254"/>
      <c r="AS4" s="252"/>
      <c r="AT4" s="259"/>
      <c r="AU4" s="259"/>
      <c r="AV4" s="259"/>
      <c r="AW4" s="259"/>
      <c r="AX4" s="252"/>
      <c r="AY4" s="255"/>
      <c r="AZ4" s="255"/>
      <c r="BA4" s="255"/>
      <c r="BB4" s="255"/>
      <c r="BC4" s="256"/>
      <c r="BD4" s="255"/>
      <c r="BE4" s="255"/>
      <c r="BF4" s="255"/>
      <c r="BG4" s="255"/>
      <c r="BH4" s="256"/>
      <c r="BI4" s="255"/>
      <c r="BJ4" s="255"/>
      <c r="BK4" s="255"/>
      <c r="BL4" s="255"/>
    </row>
    <row r="5" spans="1:64" x14ac:dyDescent="0.25">
      <c r="A5" s="251" t="s">
        <v>395</v>
      </c>
      <c r="B5" s="251" t="s">
        <v>36</v>
      </c>
      <c r="C5" s="257">
        <v>5.03</v>
      </c>
      <c r="D5" s="251" t="s">
        <v>156</v>
      </c>
      <c r="E5" s="252"/>
      <c r="F5" s="251" t="s">
        <v>404</v>
      </c>
      <c r="G5" s="251" t="s">
        <v>16</v>
      </c>
      <c r="H5" s="251">
        <v>4.0599999999999996</v>
      </c>
      <c r="I5" s="251" t="s">
        <v>162</v>
      </c>
      <c r="J5" s="252"/>
      <c r="K5" s="253" t="s">
        <v>404</v>
      </c>
      <c r="L5" s="253" t="s">
        <v>16</v>
      </c>
      <c r="M5" s="253">
        <v>6.16</v>
      </c>
      <c r="N5" s="258" t="s">
        <v>162</v>
      </c>
      <c r="O5" s="252"/>
      <c r="P5" s="253" t="s">
        <v>402</v>
      </c>
      <c r="Q5" s="253" t="s">
        <v>23</v>
      </c>
      <c r="R5" s="253">
        <v>5.01</v>
      </c>
      <c r="S5" s="253" t="s">
        <v>156</v>
      </c>
      <c r="T5" s="252"/>
      <c r="U5" s="253" t="s">
        <v>401</v>
      </c>
      <c r="V5" s="253" t="s">
        <v>34</v>
      </c>
      <c r="W5" s="253">
        <v>3.21</v>
      </c>
      <c r="X5" s="253" t="s">
        <v>160</v>
      </c>
      <c r="Y5" s="252"/>
      <c r="Z5" s="253" t="s">
        <v>417</v>
      </c>
      <c r="AA5" s="253" t="s">
        <v>418</v>
      </c>
      <c r="AB5" s="253">
        <v>2.11</v>
      </c>
      <c r="AC5" s="253" t="s">
        <v>162</v>
      </c>
      <c r="AD5" s="252"/>
      <c r="AE5" s="253"/>
      <c r="AF5" s="253"/>
      <c r="AG5" s="253"/>
      <c r="AH5" s="253"/>
      <c r="AI5" s="252"/>
      <c r="AJ5" s="254"/>
      <c r="AK5" s="254"/>
      <c r="AL5" s="254"/>
      <c r="AM5" s="254"/>
      <c r="AN5" s="189"/>
      <c r="AO5" s="254"/>
      <c r="AP5" s="254"/>
      <c r="AQ5" s="254"/>
      <c r="AR5" s="254"/>
      <c r="AS5" s="252"/>
      <c r="AT5" s="259"/>
      <c r="AU5" s="259"/>
      <c r="AV5" s="259"/>
      <c r="AW5" s="259"/>
      <c r="AX5" s="252"/>
      <c r="AY5" s="255"/>
      <c r="AZ5" s="255"/>
      <c r="BA5" s="255"/>
      <c r="BB5" s="255"/>
      <c r="BC5" s="256"/>
      <c r="BD5" s="255"/>
      <c r="BE5" s="255"/>
      <c r="BF5" s="255"/>
      <c r="BG5" s="255"/>
      <c r="BH5" s="256"/>
      <c r="BI5" s="255"/>
      <c r="BJ5" s="255"/>
      <c r="BK5" s="255"/>
      <c r="BL5" s="255"/>
    </row>
    <row r="6" spans="1:64" x14ac:dyDescent="0.25">
      <c r="A6" s="251" t="s">
        <v>396</v>
      </c>
      <c r="B6" s="251" t="s">
        <v>365</v>
      </c>
      <c r="C6" s="257">
        <v>4.55</v>
      </c>
      <c r="D6" s="251" t="s">
        <v>351</v>
      </c>
      <c r="E6" s="252"/>
      <c r="F6" s="251" t="s">
        <v>405</v>
      </c>
      <c r="G6" s="251" t="s">
        <v>27</v>
      </c>
      <c r="H6" s="251">
        <v>3.98</v>
      </c>
      <c r="I6" s="251" t="s">
        <v>156</v>
      </c>
      <c r="J6" s="252"/>
      <c r="K6" s="253" t="s">
        <v>398</v>
      </c>
      <c r="L6" s="253" t="s">
        <v>399</v>
      </c>
      <c r="M6" s="253">
        <v>4.83</v>
      </c>
      <c r="N6" s="258" t="s">
        <v>164</v>
      </c>
      <c r="O6" s="252"/>
      <c r="P6" s="253"/>
      <c r="Q6" s="253"/>
      <c r="R6" s="253"/>
      <c r="S6" s="253"/>
      <c r="T6" s="252"/>
      <c r="U6" s="253" t="s">
        <v>407</v>
      </c>
      <c r="V6" s="253" t="s">
        <v>51</v>
      </c>
      <c r="W6" s="253">
        <v>3.08</v>
      </c>
      <c r="X6" s="253" t="s">
        <v>156</v>
      </c>
      <c r="Y6" s="252"/>
      <c r="Z6" s="253" t="s">
        <v>419</v>
      </c>
      <c r="AA6" s="253" t="s">
        <v>58</v>
      </c>
      <c r="AB6" s="253">
        <v>1.94</v>
      </c>
      <c r="AC6" s="253" t="s">
        <v>156</v>
      </c>
      <c r="AD6" s="252"/>
      <c r="AE6" s="253"/>
      <c r="AF6" s="253"/>
      <c r="AG6" s="253"/>
      <c r="AH6" s="253"/>
      <c r="AI6" s="252"/>
      <c r="AJ6" s="254"/>
      <c r="AK6" s="254"/>
      <c r="AL6" s="254"/>
      <c r="AM6" s="254"/>
      <c r="AN6" s="189"/>
      <c r="AO6" s="254"/>
      <c r="AP6" s="254"/>
      <c r="AQ6" s="254"/>
      <c r="AR6" s="254"/>
      <c r="AS6" s="252"/>
      <c r="AT6" s="259"/>
      <c r="AU6" s="259"/>
      <c r="AV6" s="259"/>
      <c r="AW6" s="259"/>
      <c r="AX6" s="252"/>
      <c r="AY6" s="255"/>
      <c r="AZ6" s="255"/>
      <c r="BA6" s="255"/>
      <c r="BB6" s="255"/>
      <c r="BC6" s="256"/>
      <c r="BD6" s="255"/>
      <c r="BE6" s="255"/>
      <c r="BF6" s="255"/>
      <c r="BG6" s="255"/>
      <c r="BH6" s="256"/>
      <c r="BI6" s="255"/>
      <c r="BJ6" s="255"/>
      <c r="BK6" s="255"/>
      <c r="BL6" s="255"/>
    </row>
    <row r="7" spans="1:64" x14ac:dyDescent="0.25">
      <c r="A7" s="251" t="s">
        <v>397</v>
      </c>
      <c r="B7" s="251" t="s">
        <v>20</v>
      </c>
      <c r="C7" s="257">
        <v>4.4000000000000004</v>
      </c>
      <c r="D7" s="251" t="s">
        <v>160</v>
      </c>
      <c r="E7" s="252"/>
      <c r="F7" s="251" t="s">
        <v>406</v>
      </c>
      <c r="G7" s="251" t="s">
        <v>56</v>
      </c>
      <c r="H7" s="251">
        <v>2.84</v>
      </c>
      <c r="I7" s="251" t="s">
        <v>164</v>
      </c>
      <c r="J7" s="252"/>
      <c r="K7" s="253" t="s">
        <v>436</v>
      </c>
      <c r="L7" s="253" t="s">
        <v>437</v>
      </c>
      <c r="M7" s="253">
        <v>4.0999999999999996</v>
      </c>
      <c r="N7" s="258" t="s">
        <v>164</v>
      </c>
      <c r="O7" s="252"/>
      <c r="P7" s="253"/>
      <c r="Q7" s="253"/>
      <c r="R7" s="253"/>
      <c r="S7" s="253"/>
      <c r="T7" s="252"/>
      <c r="U7" s="253" t="s">
        <v>408</v>
      </c>
      <c r="V7" s="253" t="s">
        <v>40</v>
      </c>
      <c r="W7" s="253">
        <v>2.56</v>
      </c>
      <c r="X7" s="253" t="s">
        <v>164</v>
      </c>
      <c r="Y7" s="252"/>
      <c r="Z7" s="253" t="s">
        <v>420</v>
      </c>
      <c r="AA7" s="253" t="s">
        <v>28</v>
      </c>
      <c r="AB7" s="253">
        <v>1.82</v>
      </c>
      <c r="AC7" s="253" t="s">
        <v>160</v>
      </c>
      <c r="AD7" s="252"/>
      <c r="AE7" s="253"/>
      <c r="AF7" s="253"/>
      <c r="AG7" s="253"/>
      <c r="AH7" s="253"/>
      <c r="AI7" s="252"/>
      <c r="AJ7" s="254"/>
      <c r="AK7" s="254"/>
      <c r="AL7" s="254"/>
      <c r="AM7" s="254"/>
      <c r="AN7" s="189"/>
      <c r="AO7" s="254"/>
      <c r="AP7" s="254"/>
      <c r="AQ7" s="254"/>
      <c r="AR7" s="254"/>
      <c r="AS7" s="252"/>
      <c r="AT7" s="259"/>
      <c r="AU7" s="259"/>
      <c r="AV7" s="259"/>
      <c r="AW7" s="259"/>
      <c r="AX7" s="252"/>
      <c r="AY7" s="255"/>
      <c r="AZ7" s="255"/>
      <c r="BA7" s="255"/>
      <c r="BB7" s="255"/>
      <c r="BC7" s="256"/>
      <c r="BD7" s="255"/>
      <c r="BE7" s="255"/>
      <c r="BF7" s="255"/>
      <c r="BG7" s="255"/>
      <c r="BH7" s="256"/>
      <c r="BI7" s="255"/>
      <c r="BJ7" s="255"/>
      <c r="BK7" s="255"/>
      <c r="BL7" s="255"/>
    </row>
    <row r="8" spans="1:64" x14ac:dyDescent="0.25">
      <c r="A8" s="251" t="s">
        <v>398</v>
      </c>
      <c r="B8" s="251" t="s">
        <v>399</v>
      </c>
      <c r="C8" s="257">
        <v>4</v>
      </c>
      <c r="D8" s="251" t="s">
        <v>164</v>
      </c>
      <c r="E8" s="252"/>
      <c r="F8" s="251" t="s">
        <v>407</v>
      </c>
      <c r="G8" s="251" t="s">
        <v>51</v>
      </c>
      <c r="H8" s="251">
        <v>2.5</v>
      </c>
      <c r="I8" s="251" t="s">
        <v>156</v>
      </c>
      <c r="J8" s="252"/>
      <c r="K8" s="253"/>
      <c r="L8" s="253"/>
      <c r="M8" s="253"/>
      <c r="N8" s="258"/>
      <c r="O8" s="252"/>
      <c r="P8" s="253"/>
      <c r="Q8" s="253"/>
      <c r="R8" s="253"/>
      <c r="S8" s="253"/>
      <c r="T8" s="252"/>
      <c r="U8" s="253" t="s">
        <v>406</v>
      </c>
      <c r="V8" s="253" t="s">
        <v>56</v>
      </c>
      <c r="W8" s="253">
        <v>2.5499999999999998</v>
      </c>
      <c r="X8" s="253" t="s">
        <v>164</v>
      </c>
      <c r="Y8" s="252"/>
      <c r="Z8" s="253" t="s">
        <v>421</v>
      </c>
      <c r="AA8" s="253" t="s">
        <v>381</v>
      </c>
      <c r="AB8" s="253">
        <v>1.78</v>
      </c>
      <c r="AC8" s="253" t="s">
        <v>160</v>
      </c>
      <c r="AD8" s="252"/>
      <c r="AE8" s="253"/>
      <c r="AF8" s="253"/>
      <c r="AG8" s="253"/>
      <c r="AH8" s="253"/>
      <c r="AI8" s="252"/>
      <c r="AJ8" s="254"/>
      <c r="AK8" s="254"/>
      <c r="AL8" s="254"/>
      <c r="AM8" s="254"/>
      <c r="AN8" s="189"/>
      <c r="AO8" s="254"/>
      <c r="AP8" s="254"/>
      <c r="AQ8" s="254"/>
      <c r="AR8" s="254"/>
      <c r="AS8" s="252"/>
      <c r="AT8" s="259"/>
      <c r="AU8" s="259"/>
      <c r="AV8" s="259"/>
      <c r="AW8" s="259"/>
      <c r="AX8" s="252"/>
      <c r="AY8" s="255"/>
      <c r="AZ8" s="255"/>
      <c r="BA8" s="255"/>
      <c r="BB8" s="255"/>
      <c r="BC8" s="256"/>
      <c r="BD8" s="255"/>
      <c r="BE8" s="255"/>
      <c r="BF8" s="255"/>
      <c r="BG8" s="255"/>
      <c r="BH8" s="256"/>
      <c r="BI8" s="255"/>
      <c r="BJ8" s="255"/>
      <c r="BK8" s="255"/>
      <c r="BL8" s="255"/>
    </row>
    <row r="9" spans="1:64" x14ac:dyDescent="0.25">
      <c r="A9" s="251" t="s">
        <v>400</v>
      </c>
      <c r="B9" s="251" t="s">
        <v>26</v>
      </c>
      <c r="C9" s="257">
        <v>3.76</v>
      </c>
      <c r="D9" s="251" t="s">
        <v>170</v>
      </c>
      <c r="E9" s="252"/>
      <c r="F9" s="251" t="s">
        <v>408</v>
      </c>
      <c r="G9" s="251" t="s">
        <v>40</v>
      </c>
      <c r="H9" s="251">
        <v>2.41</v>
      </c>
      <c r="I9" s="251" t="s">
        <v>164</v>
      </c>
      <c r="J9" s="252"/>
      <c r="K9" s="253"/>
      <c r="L9" s="253"/>
      <c r="M9" s="253"/>
      <c r="N9" s="258"/>
      <c r="O9" s="252"/>
      <c r="P9" s="253"/>
      <c r="Q9" s="253"/>
      <c r="R9" s="253"/>
      <c r="S9" s="253"/>
      <c r="T9" s="252"/>
      <c r="U9" s="253" t="s">
        <v>409</v>
      </c>
      <c r="V9" s="253" t="s">
        <v>47</v>
      </c>
      <c r="W9" s="253">
        <v>2.4</v>
      </c>
      <c r="X9" s="253" t="s">
        <v>197</v>
      </c>
      <c r="Y9" s="252"/>
      <c r="Z9" s="253" t="s">
        <v>422</v>
      </c>
      <c r="AA9" s="253" t="s">
        <v>343</v>
      </c>
      <c r="AB9" s="253">
        <v>1.75</v>
      </c>
      <c r="AC9" s="253" t="s">
        <v>160</v>
      </c>
      <c r="AD9" s="252"/>
      <c r="AE9" s="253"/>
      <c r="AF9" s="253"/>
      <c r="AG9" s="253"/>
      <c r="AH9" s="253"/>
      <c r="AI9" s="252"/>
      <c r="AJ9" s="254"/>
      <c r="AK9" s="254"/>
      <c r="AL9" s="254"/>
      <c r="AM9" s="254"/>
      <c r="AN9" s="189"/>
      <c r="AO9" s="254"/>
      <c r="AP9" s="254"/>
      <c r="AQ9" s="254"/>
      <c r="AR9" s="254"/>
      <c r="AS9" s="252"/>
      <c r="AT9" s="259"/>
      <c r="AU9" s="259"/>
      <c r="AV9" s="259"/>
      <c r="AW9" s="259"/>
      <c r="AX9" s="252"/>
      <c r="AY9" s="255"/>
      <c r="AZ9" s="255"/>
      <c r="BA9" s="255"/>
      <c r="BB9" s="255"/>
      <c r="BC9" s="256"/>
      <c r="BD9" s="255"/>
      <c r="BE9" s="255"/>
      <c r="BF9" s="255"/>
      <c r="BG9" s="255"/>
      <c r="BH9" s="256"/>
      <c r="BI9" s="255"/>
      <c r="BJ9" s="255"/>
      <c r="BK9" s="255"/>
      <c r="BL9" s="255"/>
    </row>
    <row r="10" spans="1:64" x14ac:dyDescent="0.25">
      <c r="A10" s="251" t="s">
        <v>401</v>
      </c>
      <c r="B10" s="251" t="s">
        <v>34</v>
      </c>
      <c r="C10" s="257">
        <v>3.61</v>
      </c>
      <c r="D10" s="251" t="s">
        <v>160</v>
      </c>
      <c r="E10" s="252"/>
      <c r="F10" s="251" t="s">
        <v>409</v>
      </c>
      <c r="G10" s="251" t="s">
        <v>47</v>
      </c>
      <c r="H10" s="251">
        <v>2.2200000000000002</v>
      </c>
      <c r="I10" s="251" t="s">
        <v>197</v>
      </c>
      <c r="J10" s="252"/>
      <c r="K10" s="253"/>
      <c r="L10" s="253"/>
      <c r="M10" s="253"/>
      <c r="N10" s="258"/>
      <c r="O10" s="252"/>
      <c r="P10" s="253"/>
      <c r="Q10" s="253"/>
      <c r="R10" s="253"/>
      <c r="S10" s="253"/>
      <c r="T10" s="252"/>
      <c r="U10" s="253" t="s">
        <v>413</v>
      </c>
      <c r="V10" s="253" t="s">
        <v>387</v>
      </c>
      <c r="W10" s="253">
        <v>2.37</v>
      </c>
      <c r="X10" s="253" t="s">
        <v>170</v>
      </c>
      <c r="Y10" s="252"/>
      <c r="Z10" s="253" t="s">
        <v>423</v>
      </c>
      <c r="AA10" s="253" t="s">
        <v>39</v>
      </c>
      <c r="AB10" s="253">
        <v>1.68</v>
      </c>
      <c r="AC10" s="253" t="s">
        <v>182</v>
      </c>
      <c r="AD10" s="252"/>
      <c r="AE10" s="253"/>
      <c r="AF10" s="253"/>
      <c r="AG10" s="253"/>
      <c r="AH10" s="253"/>
      <c r="AI10" s="252"/>
      <c r="AJ10" s="254"/>
      <c r="AK10" s="254"/>
      <c r="AL10" s="254"/>
      <c r="AM10" s="254"/>
      <c r="AN10" s="189"/>
      <c r="AO10" s="254"/>
      <c r="AP10" s="254"/>
      <c r="AQ10" s="254"/>
      <c r="AR10" s="254"/>
      <c r="AS10" s="252"/>
      <c r="AT10" s="259"/>
      <c r="AU10" s="259"/>
      <c r="AV10" s="259"/>
      <c r="AW10" s="259"/>
      <c r="AX10" s="252"/>
      <c r="AY10" s="255"/>
      <c r="AZ10" s="255"/>
      <c r="BA10" s="255"/>
      <c r="BB10" s="255"/>
      <c r="BC10" s="256"/>
      <c r="BD10" s="255"/>
      <c r="BE10" s="255"/>
      <c r="BF10" s="255"/>
      <c r="BG10" s="255"/>
      <c r="BH10" s="256"/>
      <c r="BI10" s="255"/>
      <c r="BJ10" s="255"/>
      <c r="BK10" s="255"/>
      <c r="BL10" s="255"/>
    </row>
    <row r="11" spans="1:64" x14ac:dyDescent="0.25">
      <c r="A11" s="251"/>
      <c r="B11" s="251"/>
      <c r="C11" s="257"/>
      <c r="D11" s="251"/>
      <c r="E11" s="252"/>
      <c r="F11" s="251" t="s">
        <v>410</v>
      </c>
      <c r="G11" s="251" t="s">
        <v>341</v>
      </c>
      <c r="H11" s="251">
        <v>1.91</v>
      </c>
      <c r="I11" s="251" t="s">
        <v>197</v>
      </c>
      <c r="J11" s="252"/>
      <c r="K11" s="253"/>
      <c r="L11" s="253"/>
      <c r="M11" s="253"/>
      <c r="N11" s="258"/>
      <c r="O11" s="252"/>
      <c r="P11" s="253"/>
      <c r="Q11" s="253"/>
      <c r="R11" s="253"/>
      <c r="S11" s="253"/>
      <c r="T11" s="252"/>
      <c r="U11" s="253" t="s">
        <v>414</v>
      </c>
      <c r="V11" s="253" t="s">
        <v>67</v>
      </c>
      <c r="W11" s="253">
        <v>2.35</v>
      </c>
      <c r="X11" s="253" t="s">
        <v>170</v>
      </c>
      <c r="Y11" s="252"/>
      <c r="Z11" s="253" t="s">
        <v>424</v>
      </c>
      <c r="AA11" s="253" t="s">
        <v>383</v>
      </c>
      <c r="AB11" s="253">
        <v>1.62</v>
      </c>
      <c r="AC11" s="253" t="s">
        <v>162</v>
      </c>
      <c r="AD11" s="252"/>
      <c r="AE11" s="253"/>
      <c r="AF11" s="253"/>
      <c r="AG11" s="253"/>
      <c r="AH11" s="253"/>
      <c r="AI11" s="252"/>
      <c r="AJ11" s="254"/>
      <c r="AK11" s="254"/>
      <c r="AL11" s="254"/>
      <c r="AM11" s="254"/>
      <c r="AN11" s="189"/>
      <c r="AO11" s="254"/>
      <c r="AP11" s="254"/>
      <c r="AQ11" s="254"/>
      <c r="AR11" s="254"/>
      <c r="AS11" s="252"/>
      <c r="AT11" s="259"/>
      <c r="AU11" s="259"/>
      <c r="AV11" s="259"/>
      <c r="AW11" s="259"/>
      <c r="AX11" s="252"/>
      <c r="AY11" s="255"/>
      <c r="AZ11" s="255"/>
      <c r="BA11" s="255"/>
      <c r="BB11" s="255"/>
      <c r="BC11" s="256"/>
      <c r="BD11" s="255"/>
      <c r="BE11" s="255"/>
      <c r="BF11" s="255"/>
      <c r="BG11" s="255"/>
      <c r="BH11" s="256"/>
      <c r="BI11" s="255"/>
      <c r="BJ11" s="255"/>
      <c r="BK11" s="255"/>
      <c r="BL11" s="255"/>
    </row>
    <row r="12" spans="1:64" x14ac:dyDescent="0.25">
      <c r="A12" s="251"/>
      <c r="B12" s="251"/>
      <c r="C12" s="257"/>
      <c r="D12" s="251"/>
      <c r="E12" s="252"/>
      <c r="F12" s="251"/>
      <c r="G12" s="251"/>
      <c r="H12" s="251"/>
      <c r="I12" s="251"/>
      <c r="J12" s="252"/>
      <c r="K12" s="253"/>
      <c r="L12" s="253"/>
      <c r="M12" s="253"/>
      <c r="N12" s="258"/>
      <c r="O12" s="252"/>
      <c r="P12" s="253"/>
      <c r="Q12" s="253"/>
      <c r="R12" s="253"/>
      <c r="S12" s="253"/>
      <c r="T12" s="252"/>
      <c r="U12" s="253"/>
      <c r="V12" s="253"/>
      <c r="W12" s="253"/>
      <c r="X12" s="253"/>
      <c r="Y12" s="252"/>
      <c r="Z12" s="253" t="s">
        <v>425</v>
      </c>
      <c r="AA12" s="253" t="s">
        <v>390</v>
      </c>
      <c r="AB12" s="253">
        <v>1.58</v>
      </c>
      <c r="AC12" s="253" t="s">
        <v>154</v>
      </c>
      <c r="AD12" s="252"/>
      <c r="AE12" s="253"/>
      <c r="AF12" s="253"/>
      <c r="AG12" s="253"/>
      <c r="AH12" s="253"/>
      <c r="AI12" s="252"/>
      <c r="AJ12" s="254"/>
      <c r="AK12" s="254"/>
      <c r="AL12" s="254"/>
      <c r="AM12" s="254"/>
      <c r="AN12" s="189"/>
      <c r="AO12" s="254"/>
      <c r="AP12" s="254"/>
      <c r="AQ12" s="254"/>
      <c r="AR12" s="254"/>
      <c r="AS12" s="252"/>
      <c r="AT12" s="259"/>
      <c r="AU12" s="259"/>
      <c r="AV12" s="259"/>
      <c r="AW12" s="259"/>
      <c r="AX12" s="252"/>
      <c r="AY12" s="255"/>
      <c r="AZ12" s="255"/>
      <c r="BA12" s="255"/>
      <c r="BB12" s="255"/>
      <c r="BC12" s="256"/>
      <c r="BD12" s="255"/>
      <c r="BE12" s="255"/>
      <c r="BF12" s="255"/>
      <c r="BG12" s="255"/>
      <c r="BH12" s="256"/>
      <c r="BI12" s="255"/>
      <c r="BJ12" s="255"/>
      <c r="BK12" s="255"/>
      <c r="BL12" s="255"/>
    </row>
    <row r="13" spans="1:64" x14ac:dyDescent="0.25">
      <c r="A13" s="251"/>
      <c r="B13" s="251"/>
      <c r="C13" s="257"/>
      <c r="D13" s="251"/>
      <c r="E13" s="252"/>
      <c r="F13" s="251"/>
      <c r="G13" s="251"/>
      <c r="H13" s="251"/>
      <c r="I13" s="251"/>
      <c r="J13" s="252"/>
      <c r="K13" s="253"/>
      <c r="L13" s="253"/>
      <c r="M13" s="253"/>
      <c r="N13" s="258"/>
      <c r="O13" s="252"/>
      <c r="P13" s="253"/>
      <c r="Q13" s="253"/>
      <c r="R13" s="253"/>
      <c r="S13" s="253"/>
      <c r="T13" s="252"/>
      <c r="U13" s="253"/>
      <c r="V13" s="253"/>
      <c r="W13" s="253"/>
      <c r="X13" s="253"/>
      <c r="Y13" s="252"/>
      <c r="Z13" s="253" t="s">
        <v>426</v>
      </c>
      <c r="AA13" s="253" t="s">
        <v>24</v>
      </c>
      <c r="AB13" s="253">
        <v>1.57</v>
      </c>
      <c r="AC13" s="253" t="s">
        <v>154</v>
      </c>
      <c r="AD13" s="252"/>
      <c r="AE13" s="253"/>
      <c r="AF13" s="253"/>
      <c r="AG13" s="253"/>
      <c r="AH13" s="253"/>
      <c r="AI13" s="252"/>
      <c r="AJ13" s="254"/>
      <c r="AK13" s="254"/>
      <c r="AL13" s="254"/>
      <c r="AM13" s="254"/>
      <c r="AN13" s="189"/>
      <c r="AO13" s="254"/>
      <c r="AP13" s="254"/>
      <c r="AQ13" s="254"/>
      <c r="AR13" s="254"/>
      <c r="AS13" s="252"/>
      <c r="AT13" s="259"/>
      <c r="AU13" s="259"/>
      <c r="AV13" s="259"/>
      <c r="AW13" s="259"/>
      <c r="AX13" s="252"/>
      <c r="AY13" s="255"/>
      <c r="AZ13" s="255"/>
      <c r="BA13" s="255"/>
      <c r="BB13" s="255"/>
      <c r="BC13" s="256"/>
      <c r="BD13" s="255"/>
      <c r="BE13" s="255"/>
      <c r="BF13" s="255"/>
      <c r="BG13" s="255"/>
      <c r="BH13" s="256"/>
      <c r="BI13" s="255"/>
      <c r="BJ13" s="255"/>
      <c r="BK13" s="255"/>
      <c r="BL13" s="255"/>
    </row>
    <row r="14" spans="1:64" x14ac:dyDescent="0.25">
      <c r="A14" s="251"/>
      <c r="B14" s="251"/>
      <c r="C14" s="257"/>
      <c r="D14" s="251"/>
      <c r="E14" s="252"/>
      <c r="F14" s="251"/>
      <c r="G14" s="251"/>
      <c r="H14" s="251"/>
      <c r="I14" s="251"/>
      <c r="J14" s="252"/>
      <c r="K14" s="253"/>
      <c r="L14" s="253"/>
      <c r="M14" s="253"/>
      <c r="N14" s="258"/>
      <c r="O14" s="252"/>
      <c r="P14" s="253"/>
      <c r="Q14" s="253"/>
      <c r="R14" s="253"/>
      <c r="S14" s="253"/>
      <c r="T14" s="252"/>
      <c r="U14" s="253"/>
      <c r="V14" s="253"/>
      <c r="W14" s="253"/>
      <c r="X14" s="253"/>
      <c r="Y14" s="252"/>
      <c r="Z14" s="253" t="s">
        <v>427</v>
      </c>
      <c r="AA14" s="253" t="s">
        <v>69</v>
      </c>
      <c r="AB14" s="253">
        <v>1.52</v>
      </c>
      <c r="AC14" s="253" t="s">
        <v>160</v>
      </c>
      <c r="AD14" s="252"/>
      <c r="AE14" s="253"/>
      <c r="AF14" s="253"/>
      <c r="AG14" s="253"/>
      <c r="AH14" s="253"/>
      <c r="AI14" s="252"/>
      <c r="AJ14" s="254"/>
      <c r="AK14" s="254"/>
      <c r="AL14" s="254"/>
      <c r="AM14" s="254"/>
      <c r="AN14" s="189"/>
      <c r="AO14" s="254"/>
      <c r="AP14" s="254"/>
      <c r="AQ14" s="254"/>
      <c r="AR14" s="254"/>
      <c r="AS14" s="252"/>
      <c r="AT14" s="259"/>
      <c r="AU14" s="259"/>
      <c r="AV14" s="259"/>
      <c r="AW14" s="259"/>
      <c r="AX14" s="252"/>
      <c r="AY14" s="255"/>
      <c r="AZ14" s="255"/>
      <c r="BA14" s="255"/>
      <c r="BB14" s="255"/>
      <c r="BC14" s="256"/>
      <c r="BD14" s="255"/>
      <c r="BE14" s="255"/>
      <c r="BF14" s="255"/>
      <c r="BG14" s="255"/>
      <c r="BH14" s="256"/>
      <c r="BI14" s="255"/>
      <c r="BJ14" s="255"/>
      <c r="BK14" s="255"/>
      <c r="BL14" s="255"/>
    </row>
    <row r="15" spans="1:64" x14ac:dyDescent="0.25">
      <c r="A15" s="251"/>
      <c r="B15" s="251"/>
      <c r="C15" s="257"/>
      <c r="D15" s="251"/>
      <c r="E15" s="252"/>
      <c r="F15" s="251"/>
      <c r="G15" s="251"/>
      <c r="H15" s="251"/>
      <c r="I15" s="251"/>
      <c r="J15" s="252"/>
      <c r="K15" s="253"/>
      <c r="L15" s="253"/>
      <c r="M15" s="253"/>
      <c r="N15" s="253"/>
      <c r="O15" s="252"/>
      <c r="P15" s="253"/>
      <c r="Q15" s="253"/>
      <c r="R15" s="253"/>
      <c r="S15" s="253"/>
      <c r="T15" s="252"/>
      <c r="U15" s="253"/>
      <c r="V15" s="253"/>
      <c r="W15" s="253"/>
      <c r="X15" s="253"/>
      <c r="Y15" s="252"/>
      <c r="Z15" s="253" t="s">
        <v>428</v>
      </c>
      <c r="AA15" s="253" t="s">
        <v>429</v>
      </c>
      <c r="AB15" s="253">
        <v>1.46</v>
      </c>
      <c r="AC15" s="253" t="s">
        <v>430</v>
      </c>
      <c r="AD15" s="252"/>
      <c r="AE15" s="253"/>
      <c r="AF15" s="253"/>
      <c r="AG15" s="253"/>
      <c r="AH15" s="253"/>
      <c r="AI15" s="252"/>
      <c r="AJ15" s="254"/>
      <c r="AK15" s="254"/>
      <c r="AL15" s="254"/>
      <c r="AM15" s="254"/>
      <c r="AN15" s="189"/>
      <c r="AO15" s="254"/>
      <c r="AP15" s="254"/>
      <c r="AQ15" s="254"/>
      <c r="AR15" s="254"/>
      <c r="AS15" s="252"/>
      <c r="AT15" s="259"/>
      <c r="AU15" s="259"/>
      <c r="AV15" s="259"/>
      <c r="AW15" s="259"/>
      <c r="AX15" s="252"/>
      <c r="AY15" s="255"/>
      <c r="AZ15" s="255"/>
      <c r="BA15" s="255"/>
      <c r="BB15" s="255"/>
      <c r="BC15" s="256"/>
      <c r="BD15" s="255"/>
      <c r="BE15" s="255"/>
      <c r="BF15" s="255"/>
      <c r="BG15" s="255"/>
      <c r="BH15" s="256"/>
      <c r="BI15" s="255"/>
      <c r="BJ15" s="255"/>
      <c r="BK15" s="255"/>
      <c r="BL15" s="255"/>
    </row>
    <row r="16" spans="1:64" x14ac:dyDescent="0.25">
      <c r="A16" s="251"/>
      <c r="B16" s="251"/>
      <c r="C16" s="257"/>
      <c r="D16" s="251"/>
      <c r="E16" s="252"/>
      <c r="F16" s="251"/>
      <c r="G16" s="251"/>
      <c r="H16" s="251"/>
      <c r="I16" s="251"/>
      <c r="J16" s="252"/>
      <c r="K16" s="253"/>
      <c r="L16" s="253"/>
      <c r="M16" s="253"/>
      <c r="N16" s="253"/>
      <c r="O16" s="252"/>
      <c r="P16" s="253"/>
      <c r="Q16" s="253"/>
      <c r="R16" s="253"/>
      <c r="S16" s="253"/>
      <c r="T16" s="252"/>
      <c r="U16" s="253"/>
      <c r="V16" s="253"/>
      <c r="W16" s="253"/>
      <c r="X16" s="253"/>
      <c r="Y16" s="252"/>
      <c r="Z16" s="253" t="s">
        <v>431</v>
      </c>
      <c r="AA16" s="253" t="s">
        <v>432</v>
      </c>
      <c r="AB16" s="253" t="s">
        <v>198</v>
      </c>
      <c r="AC16" s="253" t="s">
        <v>351</v>
      </c>
      <c r="AD16" s="252"/>
      <c r="AE16" s="253"/>
      <c r="AF16" s="253"/>
      <c r="AG16" s="253"/>
      <c r="AH16" s="253"/>
      <c r="AI16" s="252"/>
      <c r="AJ16" s="254"/>
      <c r="AK16" s="254"/>
      <c r="AL16" s="254"/>
      <c r="AM16" s="254"/>
      <c r="AN16" s="189"/>
      <c r="AO16" s="254"/>
      <c r="AP16" s="254"/>
      <c r="AQ16" s="254"/>
      <c r="AR16" s="254"/>
      <c r="AS16" s="252"/>
      <c r="AT16" s="259"/>
      <c r="AU16" s="259"/>
      <c r="AV16" s="259"/>
      <c r="AW16" s="259"/>
      <c r="AX16" s="252"/>
      <c r="AY16" s="255"/>
      <c r="AZ16" s="255"/>
      <c r="BA16" s="255"/>
      <c r="BB16" s="255"/>
      <c r="BC16" s="256"/>
      <c r="BD16" s="255"/>
      <c r="BE16" s="255"/>
      <c r="BF16" s="255"/>
      <c r="BG16" s="255"/>
      <c r="BH16" s="256"/>
      <c r="BI16" s="255"/>
      <c r="BJ16" s="255"/>
      <c r="BK16" s="255"/>
      <c r="BL16" s="255"/>
    </row>
    <row r="17" spans="1:64" x14ac:dyDescent="0.25">
      <c r="A17" s="251"/>
      <c r="B17" s="251"/>
      <c r="C17" s="257"/>
      <c r="D17" s="251"/>
      <c r="E17" s="252"/>
      <c r="F17" s="251"/>
      <c r="G17" s="251"/>
      <c r="H17" s="251"/>
      <c r="I17" s="251"/>
      <c r="J17" s="252"/>
      <c r="K17" s="253"/>
      <c r="L17" s="253"/>
      <c r="M17" s="253"/>
      <c r="N17" s="253"/>
      <c r="O17" s="252"/>
      <c r="P17" s="253"/>
      <c r="Q17" s="253"/>
      <c r="R17" s="253"/>
      <c r="S17" s="253"/>
      <c r="T17" s="252"/>
      <c r="U17" s="253"/>
      <c r="V17" s="253"/>
      <c r="W17" s="253"/>
      <c r="X17" s="253"/>
      <c r="Y17" s="252"/>
      <c r="Z17" s="253" t="s">
        <v>433</v>
      </c>
      <c r="AA17" s="253" t="s">
        <v>434</v>
      </c>
      <c r="AB17" s="253" t="s">
        <v>198</v>
      </c>
      <c r="AC17" s="253" t="s">
        <v>182</v>
      </c>
      <c r="AD17" s="252"/>
      <c r="AE17" s="253"/>
      <c r="AF17" s="253"/>
      <c r="AG17" s="253"/>
      <c r="AH17" s="253"/>
      <c r="AI17" s="252"/>
      <c r="AJ17" s="254"/>
      <c r="AK17" s="254"/>
      <c r="AL17" s="254"/>
      <c r="AM17" s="254"/>
      <c r="AN17" s="189"/>
      <c r="AO17" s="254"/>
      <c r="AP17" s="254"/>
      <c r="AQ17" s="254"/>
      <c r="AR17" s="254"/>
      <c r="AS17" s="252"/>
      <c r="AT17" s="259"/>
      <c r="AU17" s="259"/>
      <c r="AV17" s="259"/>
      <c r="AW17" s="259"/>
      <c r="AX17" s="252"/>
      <c r="AY17" s="255"/>
      <c r="AZ17" s="255"/>
      <c r="BA17" s="255"/>
      <c r="BB17" s="255"/>
      <c r="BC17" s="256"/>
      <c r="BD17" s="255"/>
      <c r="BE17" s="255"/>
      <c r="BF17" s="255"/>
      <c r="BG17" s="255"/>
      <c r="BH17" s="256"/>
      <c r="BI17" s="255"/>
      <c r="BJ17" s="255"/>
      <c r="BK17" s="255"/>
      <c r="BL17" s="255"/>
    </row>
    <row r="18" spans="1:64" x14ac:dyDescent="0.25">
      <c r="A18" s="251"/>
      <c r="B18" s="251"/>
      <c r="C18" s="257"/>
      <c r="D18" s="251"/>
      <c r="E18" s="252"/>
      <c r="F18" s="251"/>
      <c r="G18" s="251"/>
      <c r="H18" s="251"/>
      <c r="I18" s="251"/>
      <c r="J18" s="252"/>
      <c r="K18" s="253"/>
      <c r="L18" s="253"/>
      <c r="M18" s="253"/>
      <c r="N18" s="253"/>
      <c r="O18" s="252"/>
      <c r="P18" s="253"/>
      <c r="Q18" s="253"/>
      <c r="R18" s="253"/>
      <c r="S18" s="253"/>
      <c r="T18" s="252"/>
      <c r="U18" s="253"/>
      <c r="V18" s="253"/>
      <c r="W18" s="253"/>
      <c r="X18" s="253"/>
      <c r="Y18" s="252"/>
      <c r="Z18" s="253"/>
      <c r="AA18" s="253"/>
      <c r="AB18" s="253"/>
      <c r="AC18" s="253"/>
      <c r="AD18" s="252"/>
      <c r="AE18" s="253"/>
      <c r="AF18" s="253"/>
      <c r="AG18" s="253"/>
      <c r="AH18" s="253"/>
      <c r="AI18" s="252"/>
      <c r="AJ18" s="254"/>
      <c r="AK18" s="254"/>
      <c r="AL18" s="254"/>
      <c r="AM18" s="254"/>
      <c r="AN18" s="189"/>
      <c r="AO18" s="254"/>
      <c r="AP18" s="254"/>
      <c r="AQ18" s="254"/>
      <c r="AR18" s="254"/>
      <c r="AS18" s="252"/>
      <c r="AT18" s="259"/>
      <c r="AU18" s="259"/>
      <c r="AV18" s="259"/>
      <c r="AW18" s="259"/>
      <c r="AX18" s="252"/>
      <c r="AY18" s="255"/>
      <c r="AZ18" s="255"/>
      <c r="BA18" s="255"/>
      <c r="BB18" s="255"/>
      <c r="BC18" s="256"/>
      <c r="BD18" s="255"/>
      <c r="BE18" s="255"/>
      <c r="BF18" s="255"/>
      <c r="BG18" s="255"/>
      <c r="BH18" s="256"/>
      <c r="BI18" s="255"/>
      <c r="BJ18" s="255"/>
      <c r="BK18" s="255"/>
      <c r="BL18" s="255"/>
    </row>
    <row r="19" spans="1:64" x14ac:dyDescent="0.25">
      <c r="A19" s="251"/>
      <c r="B19" s="251"/>
      <c r="C19" s="257"/>
      <c r="D19" s="251"/>
      <c r="E19" s="252"/>
      <c r="F19" s="251"/>
      <c r="G19" s="251"/>
      <c r="H19" s="251"/>
      <c r="I19" s="251"/>
      <c r="J19" s="252"/>
      <c r="K19" s="253"/>
      <c r="L19" s="253"/>
      <c r="M19" s="253"/>
      <c r="N19" s="253"/>
      <c r="O19" s="252"/>
      <c r="P19" s="253"/>
      <c r="Q19" s="253"/>
      <c r="R19" s="253"/>
      <c r="S19" s="253"/>
      <c r="T19" s="252"/>
      <c r="U19" s="253"/>
      <c r="V19" s="253"/>
      <c r="W19" s="253"/>
      <c r="X19" s="253"/>
      <c r="Y19" s="252"/>
      <c r="Z19" s="253"/>
      <c r="AA19" s="253"/>
      <c r="AB19" s="253"/>
      <c r="AC19" s="253"/>
      <c r="AD19" s="252"/>
      <c r="AE19" s="253"/>
      <c r="AF19" s="253"/>
      <c r="AG19" s="253"/>
      <c r="AH19" s="253"/>
      <c r="AI19" s="252"/>
      <c r="AJ19" s="254"/>
      <c r="AK19" s="254"/>
      <c r="AL19" s="254"/>
      <c r="AM19" s="254"/>
      <c r="AN19" s="189"/>
      <c r="AO19" s="254"/>
      <c r="AP19" s="254"/>
      <c r="AQ19" s="254"/>
      <c r="AR19" s="254"/>
      <c r="AS19" s="252"/>
      <c r="AT19" s="259"/>
      <c r="AU19" s="259"/>
      <c r="AV19" s="259"/>
      <c r="AW19" s="259"/>
      <c r="AX19" s="252"/>
      <c r="AY19" s="255"/>
      <c r="AZ19" s="255"/>
      <c r="BA19" s="255"/>
      <c r="BB19" s="255"/>
      <c r="BC19" s="256"/>
      <c r="BD19" s="255"/>
      <c r="BE19" s="255"/>
      <c r="BF19" s="255"/>
      <c r="BG19" s="255"/>
      <c r="BH19" s="256"/>
      <c r="BI19" s="255"/>
      <c r="BJ19" s="255"/>
      <c r="BK19" s="255"/>
      <c r="BL19" s="255"/>
    </row>
    <row r="20" spans="1:64" x14ac:dyDescent="0.25">
      <c r="A20" s="251"/>
      <c r="B20" s="251"/>
      <c r="C20" s="257"/>
      <c r="D20" s="251"/>
      <c r="E20" s="252"/>
      <c r="F20" s="251"/>
      <c r="G20" s="251"/>
      <c r="H20" s="251"/>
      <c r="I20" s="251"/>
      <c r="J20" s="252"/>
      <c r="K20" s="253"/>
      <c r="L20" s="253"/>
      <c r="M20" s="253"/>
      <c r="N20" s="253"/>
      <c r="O20" s="252"/>
      <c r="P20" s="253"/>
      <c r="Q20" s="253"/>
      <c r="R20" s="253"/>
      <c r="S20" s="253"/>
      <c r="T20" s="252"/>
      <c r="U20" s="253"/>
      <c r="V20" s="253"/>
      <c r="W20" s="253"/>
      <c r="X20" s="253"/>
      <c r="Y20" s="252"/>
      <c r="Z20" s="253"/>
      <c r="AA20" s="253"/>
      <c r="AB20" s="253"/>
      <c r="AC20" s="253"/>
      <c r="AD20" s="252"/>
      <c r="AE20" s="253"/>
      <c r="AF20" s="253"/>
      <c r="AG20" s="253"/>
      <c r="AH20" s="253"/>
      <c r="AI20" s="252"/>
      <c r="AJ20" s="254"/>
      <c r="AK20" s="254"/>
      <c r="AL20" s="254"/>
      <c r="AM20" s="254"/>
      <c r="AN20" s="189"/>
      <c r="AO20" s="254"/>
      <c r="AP20" s="254"/>
      <c r="AQ20" s="254"/>
      <c r="AR20" s="254"/>
      <c r="AS20" s="252"/>
      <c r="AT20" s="259"/>
      <c r="AU20" s="259"/>
      <c r="AV20" s="259"/>
      <c r="AW20" s="259"/>
      <c r="AX20" s="252"/>
      <c r="AY20" s="255"/>
      <c r="AZ20" s="255"/>
      <c r="BA20" s="255"/>
      <c r="BB20" s="255"/>
      <c r="BC20" s="256"/>
      <c r="BD20" s="255"/>
      <c r="BE20" s="255"/>
      <c r="BF20" s="255"/>
      <c r="BG20" s="255"/>
      <c r="BH20" s="256"/>
      <c r="BI20" s="255"/>
      <c r="BJ20" s="255"/>
      <c r="BK20" s="255"/>
      <c r="BL20" s="255"/>
    </row>
    <row r="21" spans="1:64" x14ac:dyDescent="0.25">
      <c r="A21" s="251"/>
      <c r="B21" s="251"/>
      <c r="C21" s="257"/>
      <c r="D21" s="251"/>
      <c r="E21" s="252"/>
      <c r="F21" s="251"/>
      <c r="G21" s="251"/>
      <c r="H21" s="251"/>
      <c r="I21" s="251"/>
      <c r="J21" s="252"/>
      <c r="K21" s="253"/>
      <c r="L21" s="253"/>
      <c r="M21" s="253"/>
      <c r="N21" s="253"/>
      <c r="O21" s="252"/>
      <c r="P21" s="253"/>
      <c r="Q21" s="253"/>
      <c r="R21" s="253"/>
      <c r="S21" s="253"/>
      <c r="T21" s="252"/>
      <c r="U21" s="253"/>
      <c r="V21" s="253"/>
      <c r="W21" s="253"/>
      <c r="X21" s="253"/>
      <c r="Y21" s="252"/>
      <c r="Z21" s="253"/>
      <c r="AA21" s="253"/>
      <c r="AB21" s="253"/>
      <c r="AC21" s="253"/>
      <c r="AD21" s="252"/>
      <c r="AE21" s="253"/>
      <c r="AF21" s="253"/>
      <c r="AG21" s="253"/>
      <c r="AH21" s="253"/>
      <c r="AI21" s="252"/>
      <c r="AJ21" s="254"/>
      <c r="AK21" s="254"/>
      <c r="AL21" s="254"/>
      <c r="AM21" s="254"/>
      <c r="AN21" s="189"/>
      <c r="AO21" s="254"/>
      <c r="AP21" s="254"/>
      <c r="AQ21" s="254"/>
      <c r="AR21" s="254"/>
      <c r="AS21" s="252"/>
      <c r="AT21" s="259"/>
      <c r="AU21" s="259"/>
      <c r="AV21" s="259"/>
      <c r="AW21" s="259"/>
      <c r="AX21" s="252"/>
      <c r="AY21" s="255"/>
      <c r="AZ21" s="255"/>
      <c r="BA21" s="255"/>
      <c r="BB21" s="255"/>
      <c r="BC21" s="256"/>
      <c r="BD21" s="255"/>
      <c r="BE21" s="255"/>
      <c r="BF21" s="255"/>
      <c r="BG21" s="255"/>
      <c r="BH21" s="256"/>
      <c r="BI21" s="255"/>
      <c r="BJ21" s="255"/>
      <c r="BK21" s="255"/>
      <c r="BL21" s="255"/>
    </row>
    <row r="22" spans="1:64" x14ac:dyDescent="0.25">
      <c r="A22" s="251"/>
      <c r="B22" s="251"/>
      <c r="C22" s="257"/>
      <c r="D22" s="251"/>
      <c r="E22" s="252"/>
      <c r="F22" s="251"/>
      <c r="G22" s="251"/>
      <c r="H22" s="251"/>
      <c r="I22" s="251"/>
      <c r="J22" s="252"/>
      <c r="K22" s="253"/>
      <c r="L22" s="253"/>
      <c r="M22" s="253"/>
      <c r="N22" s="253"/>
      <c r="O22" s="252"/>
      <c r="P22" s="253"/>
      <c r="Q22" s="253"/>
      <c r="R22" s="253"/>
      <c r="S22" s="253"/>
      <c r="T22" s="252"/>
      <c r="U22" s="253"/>
      <c r="V22" s="253"/>
      <c r="W22" s="253"/>
      <c r="X22" s="253"/>
      <c r="Y22" s="252"/>
      <c r="Z22" s="253"/>
      <c r="AA22" s="253"/>
      <c r="AB22" s="253"/>
      <c r="AC22" s="253"/>
      <c r="AD22" s="252"/>
      <c r="AE22" s="253"/>
      <c r="AF22" s="253"/>
      <c r="AG22" s="253"/>
      <c r="AH22" s="253"/>
      <c r="AI22" s="252"/>
      <c r="AJ22" s="254"/>
      <c r="AK22" s="254"/>
      <c r="AL22" s="254"/>
      <c r="AM22" s="254"/>
      <c r="AN22" s="189"/>
      <c r="AO22" s="254"/>
      <c r="AP22" s="254"/>
      <c r="AQ22" s="254"/>
      <c r="AR22" s="254"/>
      <c r="AS22" s="252"/>
      <c r="AT22" s="259"/>
      <c r="AU22" s="259"/>
      <c r="AV22" s="259"/>
      <c r="AW22" s="259"/>
      <c r="AX22" s="252"/>
      <c r="AY22" s="255"/>
      <c r="AZ22" s="255"/>
      <c r="BA22" s="255"/>
      <c r="BB22" s="255"/>
      <c r="BC22" s="256"/>
      <c r="BD22" s="255"/>
      <c r="BE22" s="255"/>
      <c r="BF22" s="255"/>
      <c r="BG22" s="255"/>
      <c r="BH22" s="256"/>
      <c r="BI22" s="255"/>
      <c r="BJ22" s="255"/>
      <c r="BK22" s="255"/>
      <c r="BL22" s="255"/>
    </row>
    <row r="23" spans="1:64" x14ac:dyDescent="0.25">
      <c r="A23" s="251"/>
      <c r="B23" s="251"/>
      <c r="C23" s="257"/>
      <c r="D23" s="251"/>
      <c r="E23" s="252"/>
      <c r="F23" s="251"/>
      <c r="G23" s="251"/>
      <c r="H23" s="251"/>
      <c r="I23" s="251"/>
      <c r="J23" s="252"/>
      <c r="K23" s="253"/>
      <c r="L23" s="253"/>
      <c r="M23" s="253"/>
      <c r="N23" s="253"/>
      <c r="O23" s="252"/>
      <c r="P23" s="253"/>
      <c r="Q23" s="253"/>
      <c r="R23" s="253"/>
      <c r="S23" s="253"/>
      <c r="T23" s="252"/>
      <c r="U23" s="253"/>
      <c r="V23" s="253"/>
      <c r="W23" s="253"/>
      <c r="X23" s="253"/>
      <c r="Y23" s="252"/>
      <c r="Z23" s="253"/>
      <c r="AA23" s="253"/>
      <c r="AB23" s="253"/>
      <c r="AC23" s="253"/>
      <c r="AD23" s="252"/>
      <c r="AE23" s="253"/>
      <c r="AF23" s="253"/>
      <c r="AG23" s="253"/>
      <c r="AH23" s="253"/>
      <c r="AI23" s="252"/>
      <c r="AJ23" s="254"/>
      <c r="AK23" s="254"/>
      <c r="AL23" s="254"/>
      <c r="AM23" s="254"/>
      <c r="AN23" s="189"/>
      <c r="AO23" s="254"/>
      <c r="AP23" s="254"/>
      <c r="AQ23" s="254"/>
      <c r="AR23" s="254"/>
      <c r="AS23" s="252"/>
      <c r="AT23" s="259"/>
      <c r="AU23" s="259"/>
      <c r="AV23" s="259"/>
      <c r="AW23" s="259"/>
      <c r="AX23" s="252"/>
      <c r="AY23" s="255"/>
      <c r="AZ23" s="255"/>
      <c r="BA23" s="255"/>
      <c r="BB23" s="255"/>
      <c r="BC23" s="256"/>
      <c r="BD23" s="255"/>
      <c r="BE23" s="255"/>
      <c r="BF23" s="255"/>
      <c r="BG23" s="255"/>
      <c r="BH23" s="256"/>
      <c r="BI23" s="255"/>
      <c r="BJ23" s="255"/>
      <c r="BK23" s="255"/>
      <c r="BL23" s="255"/>
    </row>
    <row r="24" spans="1:64" x14ac:dyDescent="0.25">
      <c r="A24" s="251"/>
      <c r="B24" s="251"/>
      <c r="C24" s="257"/>
      <c r="D24" s="251"/>
      <c r="E24" s="252"/>
      <c r="F24" s="251"/>
      <c r="G24" s="251"/>
      <c r="H24" s="251"/>
      <c r="I24" s="251"/>
      <c r="J24" s="252"/>
      <c r="K24" s="253"/>
      <c r="L24" s="253"/>
      <c r="M24" s="253"/>
      <c r="N24" s="253"/>
      <c r="O24" s="252"/>
      <c r="P24" s="253"/>
      <c r="Q24" s="253"/>
      <c r="R24" s="253"/>
      <c r="S24" s="253"/>
      <c r="T24" s="252"/>
      <c r="U24" s="253"/>
      <c r="V24" s="253"/>
      <c r="W24" s="253"/>
      <c r="X24" s="253"/>
      <c r="Y24" s="252"/>
      <c r="Z24" s="253"/>
      <c r="AA24" s="253"/>
      <c r="AB24" s="253"/>
      <c r="AC24" s="253"/>
      <c r="AD24" s="252"/>
      <c r="AE24" s="253"/>
      <c r="AF24" s="253"/>
      <c r="AG24" s="253"/>
      <c r="AH24" s="253"/>
      <c r="AI24" s="252"/>
      <c r="AJ24" s="254"/>
      <c r="AK24" s="254"/>
      <c r="AL24" s="254"/>
      <c r="AM24" s="254"/>
      <c r="AN24" s="189"/>
      <c r="AO24" s="254"/>
      <c r="AP24" s="254"/>
      <c r="AQ24" s="254"/>
      <c r="AR24" s="254"/>
      <c r="AS24" s="252"/>
      <c r="AT24" s="259"/>
      <c r="AU24" s="259"/>
      <c r="AV24" s="259"/>
      <c r="AW24" s="259"/>
      <c r="AX24" s="252"/>
      <c r="AY24" s="255"/>
      <c r="AZ24" s="255"/>
      <c r="BA24" s="255"/>
      <c r="BB24" s="255"/>
      <c r="BC24" s="256"/>
      <c r="BD24" s="255"/>
      <c r="BE24" s="255"/>
      <c r="BF24" s="255"/>
      <c r="BG24" s="255"/>
      <c r="BH24" s="256"/>
      <c r="BI24" s="255"/>
      <c r="BJ24" s="255"/>
      <c r="BK24" s="255"/>
      <c r="BL24" s="255"/>
    </row>
    <row r="25" spans="1:64" x14ac:dyDescent="0.25">
      <c r="A25" s="251"/>
      <c r="B25" s="251"/>
      <c r="C25" s="257"/>
      <c r="D25" s="251"/>
      <c r="E25" s="252"/>
      <c r="F25" s="251"/>
      <c r="G25" s="251"/>
      <c r="H25" s="251"/>
      <c r="I25" s="251"/>
      <c r="J25" s="252"/>
      <c r="K25" s="253"/>
      <c r="L25" s="253"/>
      <c r="M25" s="253"/>
      <c r="N25" s="253"/>
      <c r="O25" s="252"/>
      <c r="P25" s="253"/>
      <c r="Q25" s="253"/>
      <c r="R25" s="253"/>
      <c r="S25" s="253"/>
      <c r="T25" s="252"/>
      <c r="U25" s="253"/>
      <c r="V25" s="253"/>
      <c r="W25" s="253"/>
      <c r="X25" s="253"/>
      <c r="Y25" s="252"/>
      <c r="Z25" s="253"/>
      <c r="AA25" s="253"/>
      <c r="AB25" s="253"/>
      <c r="AC25" s="253"/>
      <c r="AD25" s="252"/>
      <c r="AE25" s="253"/>
      <c r="AF25" s="253"/>
      <c r="AG25" s="253"/>
      <c r="AH25" s="253"/>
      <c r="AI25" s="252"/>
      <c r="AJ25" s="254"/>
      <c r="AK25" s="254"/>
      <c r="AL25" s="254"/>
      <c r="AM25" s="254"/>
      <c r="AN25" s="189"/>
      <c r="AO25" s="254"/>
      <c r="AP25" s="254"/>
      <c r="AQ25" s="254"/>
      <c r="AR25" s="254"/>
      <c r="AS25" s="252"/>
      <c r="AT25" s="259"/>
      <c r="AU25" s="259"/>
      <c r="AV25" s="259"/>
      <c r="AW25" s="259"/>
      <c r="AX25" s="252"/>
      <c r="AY25" s="255"/>
      <c r="AZ25" s="255"/>
      <c r="BA25" s="255"/>
      <c r="BB25" s="255"/>
      <c r="BC25" s="256"/>
      <c r="BD25" s="255"/>
      <c r="BE25" s="255"/>
      <c r="BF25" s="255"/>
      <c r="BG25" s="255"/>
      <c r="BH25" s="256"/>
      <c r="BI25" s="255"/>
      <c r="BJ25" s="255"/>
      <c r="BK25" s="255"/>
      <c r="BL25" s="255"/>
    </row>
    <row r="26" spans="1:64" x14ac:dyDescent="0.25">
      <c r="A26" s="251"/>
      <c r="B26" s="251"/>
      <c r="C26" s="257"/>
      <c r="D26" s="251"/>
      <c r="E26" s="252"/>
      <c r="F26" s="251"/>
      <c r="G26" s="251"/>
      <c r="H26" s="251"/>
      <c r="I26" s="251"/>
      <c r="J26" s="252"/>
      <c r="K26" s="253"/>
      <c r="L26" s="253"/>
      <c r="M26" s="253"/>
      <c r="N26" s="253"/>
      <c r="O26" s="252"/>
      <c r="P26" s="253"/>
      <c r="Q26" s="253"/>
      <c r="R26" s="253"/>
      <c r="S26" s="253"/>
      <c r="T26" s="252"/>
      <c r="U26" s="253"/>
      <c r="V26" s="253"/>
      <c r="W26" s="253"/>
      <c r="X26" s="253"/>
      <c r="Y26" s="252"/>
      <c r="Z26" s="253"/>
      <c r="AA26" s="253"/>
      <c r="AB26" s="253"/>
      <c r="AC26" s="253"/>
      <c r="AD26" s="252"/>
      <c r="AE26" s="253"/>
      <c r="AF26" s="253"/>
      <c r="AG26" s="253"/>
      <c r="AH26" s="253"/>
      <c r="AI26" s="252"/>
      <c r="AJ26" s="254"/>
      <c r="AK26" s="254"/>
      <c r="AL26" s="254"/>
      <c r="AM26" s="254"/>
      <c r="AN26" s="189"/>
      <c r="AO26" s="254"/>
      <c r="AP26" s="254"/>
      <c r="AQ26" s="254"/>
      <c r="AR26" s="254"/>
      <c r="AS26" s="252"/>
      <c r="AT26" s="259"/>
      <c r="AU26" s="259"/>
      <c r="AV26" s="259"/>
      <c r="AW26" s="259"/>
      <c r="AX26" s="252"/>
      <c r="AY26" s="255"/>
      <c r="AZ26" s="255"/>
      <c r="BA26" s="255"/>
      <c r="BB26" s="255"/>
      <c r="BC26" s="256"/>
      <c r="BD26" s="255"/>
      <c r="BE26" s="255"/>
      <c r="BF26" s="255"/>
      <c r="BG26" s="255"/>
      <c r="BH26" s="256"/>
      <c r="BI26" s="255"/>
      <c r="BJ26" s="255"/>
      <c r="BK26" s="255"/>
      <c r="BL26" s="255"/>
    </row>
    <row r="27" spans="1:64" x14ac:dyDescent="0.25">
      <c r="A27" s="251"/>
      <c r="B27" s="251"/>
      <c r="C27" s="257"/>
      <c r="D27" s="251"/>
      <c r="E27" s="252"/>
      <c r="F27" s="251"/>
      <c r="G27" s="251"/>
      <c r="H27" s="251"/>
      <c r="I27" s="251"/>
      <c r="J27" s="252"/>
      <c r="K27" s="253"/>
      <c r="L27" s="253"/>
      <c r="M27" s="253"/>
      <c r="N27" s="253"/>
      <c r="O27" s="252"/>
      <c r="P27" s="253"/>
      <c r="Q27" s="253"/>
      <c r="R27" s="253"/>
      <c r="S27" s="253"/>
      <c r="T27" s="252"/>
      <c r="U27" s="253"/>
      <c r="V27" s="253"/>
      <c r="W27" s="253"/>
      <c r="X27" s="253"/>
      <c r="Y27" s="252"/>
      <c r="Z27" s="253"/>
      <c r="AA27" s="253"/>
      <c r="AB27" s="253"/>
      <c r="AC27" s="253"/>
      <c r="AD27" s="252"/>
      <c r="AE27" s="253"/>
      <c r="AF27" s="253"/>
      <c r="AG27" s="253"/>
      <c r="AH27" s="253"/>
      <c r="AI27" s="252"/>
      <c r="AJ27" s="254"/>
      <c r="AK27" s="254"/>
      <c r="AL27" s="254"/>
      <c r="AM27" s="254"/>
      <c r="AN27" s="189"/>
      <c r="AO27" s="254"/>
      <c r="AP27" s="254"/>
      <c r="AQ27" s="254"/>
      <c r="AR27" s="254"/>
      <c r="AS27" s="252"/>
      <c r="AT27" s="259"/>
      <c r="AU27" s="259"/>
      <c r="AV27" s="259"/>
      <c r="AW27" s="259"/>
      <c r="AX27" s="252"/>
      <c r="AY27" s="255"/>
      <c r="AZ27" s="255"/>
      <c r="BA27" s="255"/>
      <c r="BB27" s="255"/>
      <c r="BC27" s="256"/>
      <c r="BD27" s="255"/>
      <c r="BE27" s="255"/>
      <c r="BF27" s="255"/>
      <c r="BG27" s="255"/>
      <c r="BH27" s="256"/>
      <c r="BI27" s="255"/>
      <c r="BJ27" s="255"/>
      <c r="BK27" s="255"/>
      <c r="BL27" s="255"/>
    </row>
    <row r="28" spans="1:64" x14ac:dyDescent="0.25">
      <c r="A28" s="251"/>
      <c r="B28" s="251"/>
      <c r="C28" s="257"/>
      <c r="D28" s="251"/>
      <c r="E28" s="252"/>
      <c r="F28" s="251"/>
      <c r="G28" s="251"/>
      <c r="H28" s="251"/>
      <c r="I28" s="251"/>
      <c r="J28" s="252"/>
      <c r="K28" s="253"/>
      <c r="L28" s="253"/>
      <c r="M28" s="253"/>
      <c r="N28" s="253"/>
      <c r="O28" s="252"/>
      <c r="P28" s="253"/>
      <c r="Q28" s="253"/>
      <c r="R28" s="253"/>
      <c r="S28" s="253"/>
      <c r="T28" s="252"/>
      <c r="U28" s="253"/>
      <c r="V28" s="253"/>
      <c r="W28" s="253"/>
      <c r="X28" s="253"/>
      <c r="Y28" s="252"/>
      <c r="Z28" s="253"/>
      <c r="AA28" s="253"/>
      <c r="AB28" s="253"/>
      <c r="AC28" s="253"/>
      <c r="AD28" s="252"/>
      <c r="AE28" s="253"/>
      <c r="AF28" s="253"/>
      <c r="AG28" s="253"/>
      <c r="AH28" s="253"/>
      <c r="AI28" s="252"/>
      <c r="AJ28" s="254"/>
      <c r="AK28" s="254"/>
      <c r="AL28" s="254"/>
      <c r="AM28" s="254"/>
      <c r="AN28" s="189"/>
      <c r="AO28" s="254"/>
      <c r="AP28" s="254"/>
      <c r="AQ28" s="254"/>
      <c r="AR28" s="254"/>
      <c r="AS28" s="252"/>
      <c r="AT28" s="259"/>
      <c r="AU28" s="259"/>
      <c r="AV28" s="259"/>
      <c r="AW28" s="259"/>
      <c r="AX28" s="252"/>
      <c r="AY28" s="255"/>
      <c r="AZ28" s="255"/>
      <c r="BA28" s="255"/>
      <c r="BB28" s="255"/>
      <c r="BC28" s="256"/>
      <c r="BD28" s="255"/>
      <c r="BE28" s="255"/>
      <c r="BF28" s="255"/>
      <c r="BG28" s="255"/>
      <c r="BH28" s="256"/>
      <c r="BI28" s="255"/>
      <c r="BJ28" s="255"/>
      <c r="BK28" s="255"/>
      <c r="BL28" s="255"/>
    </row>
    <row r="29" spans="1:64" x14ac:dyDescent="0.25">
      <c r="A29" s="251"/>
      <c r="B29" s="251"/>
      <c r="C29" s="257"/>
      <c r="D29" s="251"/>
      <c r="E29" s="252"/>
      <c r="F29" s="251"/>
      <c r="G29" s="251"/>
      <c r="H29" s="251"/>
      <c r="I29" s="251"/>
      <c r="J29" s="252"/>
      <c r="K29" s="253"/>
      <c r="L29" s="253"/>
      <c r="M29" s="253"/>
      <c r="N29" s="253"/>
      <c r="O29" s="252"/>
      <c r="P29" s="253"/>
      <c r="Q29" s="253"/>
      <c r="R29" s="253"/>
      <c r="S29" s="253"/>
      <c r="T29" s="252"/>
      <c r="U29" s="253"/>
      <c r="V29" s="253"/>
      <c r="W29" s="253"/>
      <c r="X29" s="253"/>
      <c r="Y29" s="252"/>
      <c r="Z29" s="253"/>
      <c r="AA29" s="253"/>
      <c r="AB29" s="253"/>
      <c r="AC29" s="253"/>
      <c r="AD29" s="252"/>
      <c r="AE29" s="253"/>
      <c r="AF29" s="253"/>
      <c r="AG29" s="253"/>
      <c r="AH29" s="253"/>
      <c r="AI29" s="252"/>
      <c r="AJ29" s="254"/>
      <c r="AK29" s="254"/>
      <c r="AL29" s="254"/>
      <c r="AM29" s="254"/>
      <c r="AN29" s="189"/>
      <c r="AO29" s="254"/>
      <c r="AP29" s="254"/>
      <c r="AQ29" s="254"/>
      <c r="AR29" s="254"/>
      <c r="AS29" s="252"/>
      <c r="AT29" s="259"/>
      <c r="AU29" s="259"/>
      <c r="AV29" s="259"/>
      <c r="AW29" s="259"/>
      <c r="AX29" s="252"/>
      <c r="AY29" s="255"/>
      <c r="AZ29" s="255"/>
      <c r="BA29" s="255"/>
      <c r="BB29" s="255"/>
      <c r="BC29" s="256"/>
      <c r="BD29" s="255"/>
      <c r="BE29" s="255"/>
      <c r="BF29" s="255"/>
      <c r="BG29" s="255"/>
      <c r="BH29" s="256"/>
      <c r="BI29" s="255"/>
      <c r="BJ29" s="255"/>
      <c r="BK29" s="255"/>
      <c r="BL29" s="255"/>
    </row>
    <row r="30" spans="1:64" x14ac:dyDescent="0.25">
      <c r="A30" s="251"/>
      <c r="B30" s="251"/>
      <c r="C30" s="257"/>
      <c r="D30" s="251"/>
      <c r="E30" s="252"/>
      <c r="F30" s="251"/>
      <c r="G30" s="251"/>
      <c r="H30" s="251"/>
      <c r="I30" s="251"/>
      <c r="J30" s="252"/>
      <c r="K30" s="253"/>
      <c r="L30" s="253"/>
      <c r="M30" s="253"/>
      <c r="N30" s="253"/>
      <c r="O30" s="252"/>
      <c r="P30" s="253"/>
      <c r="Q30" s="253"/>
      <c r="R30" s="253"/>
      <c r="S30" s="253"/>
      <c r="T30" s="252"/>
      <c r="U30" s="253"/>
      <c r="V30" s="253"/>
      <c r="W30" s="253"/>
      <c r="X30" s="253"/>
      <c r="Y30" s="252"/>
      <c r="Z30" s="253"/>
      <c r="AA30" s="253"/>
      <c r="AB30" s="253"/>
      <c r="AC30" s="253"/>
      <c r="AD30" s="252"/>
      <c r="AE30" s="253"/>
      <c r="AF30" s="253"/>
      <c r="AG30" s="253"/>
      <c r="AH30" s="253"/>
      <c r="AI30" s="252"/>
      <c r="AJ30" s="254"/>
      <c r="AK30" s="254"/>
      <c r="AL30" s="254"/>
      <c r="AM30" s="254"/>
      <c r="AN30" s="189"/>
      <c r="AO30" s="254"/>
      <c r="AP30" s="254"/>
      <c r="AQ30" s="254"/>
      <c r="AR30" s="254"/>
      <c r="AS30" s="252"/>
      <c r="AT30" s="259"/>
      <c r="AU30" s="259"/>
      <c r="AV30" s="259"/>
      <c r="AW30" s="259"/>
      <c r="AX30" s="252"/>
      <c r="AY30" s="255"/>
      <c r="AZ30" s="255"/>
      <c r="BA30" s="255"/>
      <c r="BB30" s="255"/>
      <c r="BC30" s="256"/>
      <c r="BD30" s="255"/>
      <c r="BE30" s="255"/>
      <c r="BF30" s="255"/>
      <c r="BG30" s="255"/>
      <c r="BH30" s="256"/>
      <c r="BI30" s="255"/>
      <c r="BJ30" s="255"/>
      <c r="BK30" s="255"/>
      <c r="BL30" s="255"/>
    </row>
    <row r="31" spans="1:64" x14ac:dyDescent="0.25">
      <c r="A31" s="251"/>
      <c r="B31" s="251"/>
      <c r="C31" s="257"/>
      <c r="D31" s="251"/>
      <c r="E31" s="252"/>
      <c r="F31" s="251"/>
      <c r="G31" s="251"/>
      <c r="H31" s="251"/>
      <c r="I31" s="251"/>
      <c r="J31" s="252"/>
      <c r="K31" s="253"/>
      <c r="L31" s="253"/>
      <c r="M31" s="253"/>
      <c r="N31" s="253"/>
      <c r="O31" s="252"/>
      <c r="P31" s="253"/>
      <c r="Q31" s="253"/>
      <c r="R31" s="253"/>
      <c r="S31" s="253"/>
      <c r="T31" s="252"/>
      <c r="U31" s="253"/>
      <c r="V31" s="253"/>
      <c r="W31" s="253"/>
      <c r="X31" s="253"/>
      <c r="Y31" s="252"/>
      <c r="Z31" s="253"/>
      <c r="AA31" s="253"/>
      <c r="AB31" s="253"/>
      <c r="AC31" s="253"/>
      <c r="AD31" s="252"/>
      <c r="AE31" s="253"/>
      <c r="AF31" s="253"/>
      <c r="AG31" s="253"/>
      <c r="AH31" s="253"/>
      <c r="AI31" s="252"/>
      <c r="AJ31" s="254"/>
      <c r="AK31" s="254"/>
      <c r="AL31" s="254"/>
      <c r="AM31" s="254"/>
      <c r="AN31" s="189"/>
      <c r="AO31" s="254"/>
      <c r="AP31" s="254"/>
      <c r="AQ31" s="254"/>
      <c r="AR31" s="254"/>
      <c r="AS31" s="252"/>
      <c r="AT31" s="259"/>
      <c r="AU31" s="259"/>
      <c r="AV31" s="259"/>
      <c r="AW31" s="259"/>
      <c r="AX31" s="252"/>
      <c r="AY31" s="255"/>
      <c r="AZ31" s="255"/>
      <c r="BA31" s="255"/>
      <c r="BB31" s="255"/>
      <c r="BC31" s="256"/>
      <c r="BD31" s="255"/>
      <c r="BE31" s="255"/>
      <c r="BF31" s="255"/>
      <c r="BG31" s="255"/>
      <c r="BH31" s="256"/>
      <c r="BI31" s="255"/>
      <c r="BJ31" s="255"/>
      <c r="BK31" s="255"/>
      <c r="BL31" s="255"/>
    </row>
    <row r="32" spans="1:64" x14ac:dyDescent="0.25">
      <c r="A32" s="251"/>
      <c r="B32" s="251"/>
      <c r="C32" s="257"/>
      <c r="D32" s="251"/>
      <c r="E32" s="252"/>
      <c r="F32" s="251"/>
      <c r="G32" s="251"/>
      <c r="H32" s="251"/>
      <c r="I32" s="251"/>
      <c r="J32" s="252"/>
      <c r="K32" s="253"/>
      <c r="L32" s="253"/>
      <c r="M32" s="253"/>
      <c r="N32" s="253"/>
      <c r="O32" s="252"/>
      <c r="P32" s="253"/>
      <c r="Q32" s="253"/>
      <c r="R32" s="253"/>
      <c r="S32" s="253"/>
      <c r="T32" s="252"/>
      <c r="U32" s="253"/>
      <c r="V32" s="253"/>
      <c r="W32" s="253"/>
      <c r="X32" s="253"/>
      <c r="Y32" s="252"/>
      <c r="Z32" s="253"/>
      <c r="AA32" s="253"/>
      <c r="AB32" s="253"/>
      <c r="AC32" s="253"/>
      <c r="AD32" s="252"/>
      <c r="AE32" s="253"/>
      <c r="AF32" s="253"/>
      <c r="AG32" s="253"/>
      <c r="AH32" s="253"/>
      <c r="AI32" s="252"/>
      <c r="AJ32" s="254"/>
      <c r="AK32" s="254"/>
      <c r="AL32" s="254"/>
      <c r="AM32" s="254"/>
      <c r="AN32" s="189"/>
      <c r="AO32" s="254"/>
      <c r="AP32" s="254"/>
      <c r="AQ32" s="254"/>
      <c r="AR32" s="254"/>
      <c r="AS32" s="252"/>
      <c r="AT32" s="259"/>
      <c r="AU32" s="259"/>
      <c r="AV32" s="259"/>
      <c r="AW32" s="259"/>
      <c r="AX32" s="252"/>
      <c r="AY32" s="255"/>
      <c r="AZ32" s="255"/>
      <c r="BA32" s="255"/>
      <c r="BB32" s="255"/>
      <c r="BC32" s="256"/>
      <c r="BD32" s="255"/>
      <c r="BE32" s="255"/>
      <c r="BF32" s="255"/>
      <c r="BG32" s="255"/>
      <c r="BH32" s="256"/>
      <c r="BI32" s="255"/>
      <c r="BJ32" s="255"/>
      <c r="BK32" s="255"/>
      <c r="BL32" s="255"/>
    </row>
    <row r="33" spans="1:64" x14ac:dyDescent="0.25">
      <c r="A33" s="251"/>
      <c r="B33" s="251"/>
      <c r="C33" s="257"/>
      <c r="D33" s="251"/>
      <c r="E33" s="252"/>
      <c r="F33" s="251"/>
      <c r="G33" s="251"/>
      <c r="H33" s="251"/>
      <c r="I33" s="251"/>
      <c r="J33" s="252"/>
      <c r="K33" s="253"/>
      <c r="L33" s="253"/>
      <c r="M33" s="253"/>
      <c r="N33" s="253"/>
      <c r="O33" s="252"/>
      <c r="P33" s="253"/>
      <c r="Q33" s="253"/>
      <c r="R33" s="253"/>
      <c r="S33" s="253"/>
      <c r="T33" s="252"/>
      <c r="U33" s="253"/>
      <c r="V33" s="253"/>
      <c r="W33" s="253"/>
      <c r="X33" s="253"/>
      <c r="Y33" s="252"/>
      <c r="Z33" s="253"/>
      <c r="AA33" s="253"/>
      <c r="AB33" s="253"/>
      <c r="AC33" s="253"/>
      <c r="AD33" s="252"/>
      <c r="AE33" s="253"/>
      <c r="AF33" s="253"/>
      <c r="AG33" s="253"/>
      <c r="AH33" s="253"/>
      <c r="AI33" s="252"/>
      <c r="AJ33" s="254"/>
      <c r="AK33" s="254"/>
      <c r="AL33" s="254"/>
      <c r="AM33" s="254"/>
      <c r="AN33" s="189"/>
      <c r="AO33" s="254"/>
      <c r="AP33" s="254"/>
      <c r="AQ33" s="254"/>
      <c r="AR33" s="254"/>
      <c r="AS33" s="252"/>
      <c r="AT33" s="259"/>
      <c r="AU33" s="259"/>
      <c r="AV33" s="259"/>
      <c r="AW33" s="259"/>
      <c r="AX33" s="252"/>
      <c r="AY33" s="255"/>
      <c r="AZ33" s="255"/>
      <c r="BA33" s="255"/>
      <c r="BB33" s="255"/>
      <c r="BC33" s="256"/>
      <c r="BD33" s="255"/>
      <c r="BE33" s="255"/>
      <c r="BF33" s="255"/>
      <c r="BG33" s="255"/>
      <c r="BH33" s="256"/>
      <c r="BI33" s="255"/>
      <c r="BJ33" s="255"/>
      <c r="BK33" s="255"/>
      <c r="BL33" s="255"/>
    </row>
    <row r="34" spans="1:64" x14ac:dyDescent="0.25">
      <c r="A34" s="251"/>
      <c r="B34" s="251"/>
      <c r="C34" s="257"/>
      <c r="D34" s="251"/>
      <c r="E34" s="252"/>
      <c r="F34" s="251"/>
      <c r="G34" s="251"/>
      <c r="H34" s="251"/>
      <c r="I34" s="251"/>
      <c r="J34" s="252"/>
      <c r="K34" s="253"/>
      <c r="L34" s="253"/>
      <c r="M34" s="253"/>
      <c r="N34" s="253"/>
      <c r="O34" s="252"/>
      <c r="P34" s="253"/>
      <c r="Q34" s="253"/>
      <c r="R34" s="253"/>
      <c r="S34" s="253"/>
      <c r="T34" s="252"/>
      <c r="U34" s="253"/>
      <c r="V34" s="253"/>
      <c r="W34" s="253"/>
      <c r="X34" s="253"/>
      <c r="Y34" s="252"/>
      <c r="Z34" s="253"/>
      <c r="AA34" s="253"/>
      <c r="AB34" s="253"/>
      <c r="AC34" s="253"/>
      <c r="AD34" s="252"/>
      <c r="AE34" s="253"/>
      <c r="AF34" s="253"/>
      <c r="AG34" s="253"/>
      <c r="AH34" s="253"/>
      <c r="AI34" s="252"/>
      <c r="AJ34" s="254"/>
      <c r="AK34" s="254"/>
      <c r="AL34" s="254"/>
      <c r="AM34" s="254"/>
      <c r="AN34" s="189"/>
      <c r="AO34" s="254"/>
      <c r="AP34" s="254"/>
      <c r="AQ34" s="254"/>
      <c r="AR34" s="254"/>
      <c r="AS34" s="252"/>
      <c r="AT34" s="259"/>
      <c r="AU34" s="259"/>
      <c r="AV34" s="259"/>
      <c r="AW34" s="259"/>
      <c r="AX34" s="252"/>
      <c r="AY34" s="255"/>
      <c r="AZ34" s="255"/>
      <c r="BA34" s="255"/>
      <c r="BB34" s="255"/>
      <c r="BC34" s="256"/>
      <c r="BD34" s="255"/>
      <c r="BE34" s="255"/>
      <c r="BF34" s="255"/>
      <c r="BG34" s="255"/>
      <c r="BH34" s="256"/>
      <c r="BI34" s="255"/>
      <c r="BJ34" s="255"/>
      <c r="BK34" s="255"/>
      <c r="BL34" s="255"/>
    </row>
    <row r="35" spans="1:64" x14ac:dyDescent="0.25">
      <c r="A35" s="251"/>
      <c r="B35" s="251"/>
      <c r="C35" s="257"/>
      <c r="D35" s="251"/>
      <c r="E35" s="252"/>
      <c r="F35" s="251"/>
      <c r="G35" s="251"/>
      <c r="H35" s="251"/>
      <c r="I35" s="251"/>
      <c r="J35" s="252"/>
      <c r="K35" s="253"/>
      <c r="L35" s="253"/>
      <c r="M35" s="253"/>
      <c r="N35" s="253"/>
      <c r="O35" s="252"/>
      <c r="P35" s="253"/>
      <c r="Q35" s="253"/>
      <c r="R35" s="253"/>
      <c r="S35" s="253"/>
      <c r="T35" s="252"/>
      <c r="U35" s="253"/>
      <c r="V35" s="253"/>
      <c r="W35" s="253"/>
      <c r="X35" s="253"/>
      <c r="Y35" s="252"/>
      <c r="Z35" s="253"/>
      <c r="AA35" s="253"/>
      <c r="AB35" s="253"/>
      <c r="AC35" s="253"/>
      <c r="AD35" s="252"/>
      <c r="AE35" s="253"/>
      <c r="AF35" s="253"/>
      <c r="AG35" s="253"/>
      <c r="AH35" s="253"/>
      <c r="AI35" s="252"/>
      <c r="AJ35" s="254"/>
      <c r="AK35" s="254"/>
      <c r="AL35" s="254"/>
      <c r="AM35" s="254"/>
      <c r="AN35" s="189"/>
      <c r="AO35" s="254"/>
      <c r="AP35" s="254"/>
      <c r="AQ35" s="254"/>
      <c r="AR35" s="254"/>
      <c r="AS35" s="252"/>
      <c r="AT35" s="259"/>
      <c r="AU35" s="259"/>
      <c r="AV35" s="259"/>
      <c r="AW35" s="259"/>
      <c r="AX35" s="252"/>
      <c r="AY35" s="255"/>
      <c r="AZ35" s="255"/>
      <c r="BA35" s="255"/>
      <c r="BB35" s="255"/>
      <c r="BC35" s="256"/>
      <c r="BD35" s="255"/>
      <c r="BE35" s="255"/>
      <c r="BF35" s="255"/>
      <c r="BG35" s="255"/>
      <c r="BH35" s="256"/>
      <c r="BI35" s="255"/>
      <c r="BJ35" s="255"/>
      <c r="BK35" s="255"/>
      <c r="BL35" s="255"/>
    </row>
    <row r="36" spans="1:64" x14ac:dyDescent="0.25">
      <c r="A36" s="251"/>
      <c r="B36" s="251"/>
      <c r="C36" s="257"/>
      <c r="D36" s="251"/>
      <c r="E36" s="252"/>
      <c r="F36" s="251"/>
      <c r="G36" s="251"/>
      <c r="H36" s="251"/>
      <c r="I36" s="251"/>
      <c r="J36" s="252"/>
      <c r="K36" s="253"/>
      <c r="L36" s="253"/>
      <c r="M36" s="253"/>
      <c r="N36" s="253"/>
      <c r="O36" s="252"/>
      <c r="P36" s="253"/>
      <c r="Q36" s="253"/>
      <c r="R36" s="253"/>
      <c r="S36" s="253"/>
      <c r="T36" s="252"/>
      <c r="U36" s="253"/>
      <c r="V36" s="253"/>
      <c r="W36" s="253"/>
      <c r="X36" s="253"/>
      <c r="Y36" s="252"/>
      <c r="Z36" s="253"/>
      <c r="AA36" s="253"/>
      <c r="AB36" s="253"/>
      <c r="AC36" s="253"/>
      <c r="AD36" s="252"/>
      <c r="AE36" s="253"/>
      <c r="AF36" s="253"/>
      <c r="AG36" s="253"/>
      <c r="AH36" s="253"/>
      <c r="AI36" s="252"/>
      <c r="AJ36" s="254"/>
      <c r="AK36" s="254"/>
      <c r="AL36" s="254"/>
      <c r="AM36" s="254"/>
      <c r="AN36" s="189"/>
      <c r="AO36" s="254"/>
      <c r="AP36" s="254"/>
      <c r="AQ36" s="254"/>
      <c r="AR36" s="254"/>
      <c r="AS36" s="252"/>
      <c r="AT36" s="259"/>
      <c r="AU36" s="259"/>
      <c r="AV36" s="259"/>
      <c r="AW36" s="259"/>
      <c r="AX36" s="252"/>
      <c r="AY36" s="255"/>
      <c r="AZ36" s="255"/>
      <c r="BA36" s="255"/>
      <c r="BB36" s="255"/>
      <c r="BC36" s="256"/>
      <c r="BD36" s="255"/>
      <c r="BE36" s="255"/>
      <c r="BF36" s="255"/>
      <c r="BG36" s="255"/>
      <c r="BH36" s="256"/>
      <c r="BI36" s="255"/>
      <c r="BJ36" s="255"/>
      <c r="BK36" s="255"/>
      <c r="BL36" s="255"/>
    </row>
    <row r="37" spans="1:64" x14ac:dyDescent="0.25">
      <c r="A37" s="251"/>
      <c r="B37" s="251"/>
      <c r="C37" s="257"/>
      <c r="D37" s="251"/>
      <c r="E37" s="252"/>
      <c r="F37" s="251"/>
      <c r="G37" s="251"/>
      <c r="H37" s="251"/>
      <c r="I37" s="251"/>
      <c r="J37" s="252"/>
      <c r="K37" s="253"/>
      <c r="L37" s="253"/>
      <c r="M37" s="253"/>
      <c r="N37" s="253"/>
      <c r="O37" s="252"/>
      <c r="P37" s="253"/>
      <c r="Q37" s="253"/>
      <c r="R37" s="253"/>
      <c r="S37" s="253"/>
      <c r="T37" s="252"/>
      <c r="U37" s="253"/>
      <c r="V37" s="253"/>
      <c r="W37" s="253"/>
      <c r="X37" s="253"/>
      <c r="Y37" s="252"/>
      <c r="Z37" s="253"/>
      <c r="AA37" s="253"/>
      <c r="AB37" s="253"/>
      <c r="AC37" s="253"/>
      <c r="AD37" s="252"/>
      <c r="AE37" s="253"/>
      <c r="AF37" s="253"/>
      <c r="AG37" s="253"/>
      <c r="AH37" s="253"/>
      <c r="AI37" s="252"/>
      <c r="AJ37" s="254"/>
      <c r="AK37" s="254"/>
      <c r="AL37" s="254"/>
      <c r="AM37" s="254"/>
      <c r="AN37" s="189"/>
      <c r="AO37" s="254"/>
      <c r="AP37" s="254"/>
      <c r="AQ37" s="254"/>
      <c r="AR37" s="254"/>
      <c r="AS37" s="252"/>
      <c r="AT37" s="259"/>
      <c r="AU37" s="259"/>
      <c r="AV37" s="259"/>
      <c r="AW37" s="259"/>
      <c r="AX37" s="252"/>
      <c r="AY37" s="255"/>
      <c r="AZ37" s="255"/>
      <c r="BA37" s="255"/>
      <c r="BB37" s="255"/>
      <c r="BC37" s="256"/>
      <c r="BD37" s="255"/>
      <c r="BE37" s="255"/>
      <c r="BF37" s="255"/>
      <c r="BG37" s="255"/>
      <c r="BH37" s="256"/>
      <c r="BI37" s="255"/>
      <c r="BJ37" s="255"/>
      <c r="BK37" s="255"/>
      <c r="BL37" s="255"/>
    </row>
    <row r="38" spans="1:64" x14ac:dyDescent="0.25">
      <c r="A38" s="251"/>
      <c r="B38" s="251"/>
      <c r="C38" s="257"/>
      <c r="D38" s="251"/>
      <c r="E38" s="252"/>
      <c r="F38" s="251"/>
      <c r="G38" s="251"/>
      <c r="H38" s="251"/>
      <c r="I38" s="251"/>
      <c r="J38" s="252"/>
      <c r="K38" s="253"/>
      <c r="L38" s="253"/>
      <c r="M38" s="253"/>
      <c r="N38" s="253"/>
      <c r="O38" s="252"/>
      <c r="P38" s="253"/>
      <c r="Q38" s="253"/>
      <c r="R38" s="253"/>
      <c r="S38" s="253"/>
      <c r="T38" s="252"/>
      <c r="U38" s="253"/>
      <c r="V38" s="253"/>
      <c r="W38" s="253"/>
      <c r="X38" s="253"/>
      <c r="Y38" s="252"/>
      <c r="Z38" s="253"/>
      <c r="AA38" s="253"/>
      <c r="AB38" s="253"/>
      <c r="AC38" s="253"/>
      <c r="AD38" s="252"/>
      <c r="AE38" s="253"/>
      <c r="AF38" s="253"/>
      <c r="AG38" s="253"/>
      <c r="AH38" s="253"/>
      <c r="AI38" s="252"/>
      <c r="AJ38" s="254"/>
      <c r="AK38" s="254"/>
      <c r="AL38" s="254"/>
      <c r="AM38" s="254"/>
      <c r="AN38" s="189"/>
      <c r="AO38" s="254"/>
      <c r="AP38" s="254"/>
      <c r="AQ38" s="254"/>
      <c r="AR38" s="254"/>
      <c r="AS38" s="252"/>
      <c r="AT38" s="259"/>
      <c r="AU38" s="259"/>
      <c r="AV38" s="259"/>
      <c r="AW38" s="259"/>
      <c r="AX38" s="252"/>
      <c r="AY38" s="255"/>
      <c r="AZ38" s="255"/>
      <c r="BA38" s="255"/>
      <c r="BB38" s="255"/>
      <c r="BC38" s="256"/>
      <c r="BD38" s="255"/>
      <c r="BE38" s="255"/>
      <c r="BF38" s="255"/>
      <c r="BG38" s="255"/>
      <c r="BH38" s="256"/>
      <c r="BI38" s="255"/>
      <c r="BJ38" s="255"/>
      <c r="BK38" s="255"/>
      <c r="BL38" s="255"/>
    </row>
    <row r="39" spans="1:64" x14ac:dyDescent="0.25">
      <c r="A39" s="251"/>
      <c r="B39" s="251"/>
      <c r="C39" s="257"/>
      <c r="D39" s="251"/>
      <c r="E39" s="252"/>
      <c r="F39" s="251"/>
      <c r="G39" s="251"/>
      <c r="H39" s="251"/>
      <c r="I39" s="251"/>
      <c r="J39" s="252"/>
      <c r="K39" s="253"/>
      <c r="L39" s="253"/>
      <c r="M39" s="253"/>
      <c r="N39" s="253"/>
      <c r="O39" s="252"/>
      <c r="P39" s="253"/>
      <c r="Q39" s="253"/>
      <c r="R39" s="253"/>
      <c r="S39" s="253"/>
      <c r="T39" s="252"/>
      <c r="U39" s="253"/>
      <c r="V39" s="253"/>
      <c r="W39" s="253"/>
      <c r="X39" s="253"/>
      <c r="Y39" s="252"/>
      <c r="Z39" s="253"/>
      <c r="AA39" s="253"/>
      <c r="AB39" s="253"/>
      <c r="AC39" s="253"/>
      <c r="AD39" s="252"/>
      <c r="AE39" s="253"/>
      <c r="AF39" s="253"/>
      <c r="AG39" s="253"/>
      <c r="AH39" s="253"/>
      <c r="AI39" s="252"/>
      <c r="AJ39" s="254"/>
      <c r="AK39" s="254"/>
      <c r="AL39" s="254"/>
      <c r="AM39" s="254"/>
      <c r="AN39" s="189"/>
      <c r="AO39" s="254"/>
      <c r="AP39" s="254"/>
      <c r="AQ39" s="254"/>
      <c r="AR39" s="254"/>
      <c r="AS39" s="252"/>
      <c r="AT39" s="259"/>
      <c r="AU39" s="259"/>
      <c r="AV39" s="259"/>
      <c r="AW39" s="259"/>
      <c r="AX39" s="252"/>
      <c r="AY39" s="255"/>
      <c r="AZ39" s="255"/>
      <c r="BA39" s="255"/>
      <c r="BB39" s="255"/>
      <c r="BC39" s="256"/>
      <c r="BD39" s="255"/>
      <c r="BE39" s="255"/>
      <c r="BF39" s="255"/>
      <c r="BG39" s="255"/>
      <c r="BH39" s="256"/>
      <c r="BI39" s="255"/>
      <c r="BJ39" s="255"/>
      <c r="BK39" s="255"/>
      <c r="BL39" s="255"/>
    </row>
    <row r="40" spans="1:64" x14ac:dyDescent="0.25">
      <c r="A40" s="251"/>
      <c r="B40" s="251"/>
      <c r="C40" s="257"/>
      <c r="D40" s="251"/>
      <c r="E40" s="252"/>
      <c r="F40" s="251"/>
      <c r="G40" s="251"/>
      <c r="H40" s="251"/>
      <c r="I40" s="251"/>
      <c r="J40" s="252"/>
      <c r="K40" s="253"/>
      <c r="L40" s="253"/>
      <c r="M40" s="253"/>
      <c r="N40" s="253"/>
      <c r="O40" s="252"/>
      <c r="P40" s="253"/>
      <c r="Q40" s="253"/>
      <c r="R40" s="253"/>
      <c r="S40" s="253"/>
      <c r="T40" s="252"/>
      <c r="U40" s="253"/>
      <c r="V40" s="253"/>
      <c r="W40" s="253"/>
      <c r="X40" s="253"/>
      <c r="Y40" s="252"/>
      <c r="Z40" s="253"/>
      <c r="AA40" s="253"/>
      <c r="AB40" s="253"/>
      <c r="AC40" s="253"/>
      <c r="AD40" s="252"/>
      <c r="AE40" s="253"/>
      <c r="AF40" s="253"/>
      <c r="AG40" s="253"/>
      <c r="AH40" s="253"/>
      <c r="AI40" s="252"/>
      <c r="AJ40" s="254"/>
      <c r="AK40" s="254"/>
      <c r="AL40" s="254"/>
      <c r="AM40" s="254"/>
      <c r="AN40" s="189"/>
      <c r="AO40" s="254"/>
      <c r="AP40" s="254"/>
      <c r="AQ40" s="254"/>
      <c r="AR40" s="254"/>
      <c r="AS40" s="252"/>
      <c r="AT40" s="259"/>
      <c r="AU40" s="259"/>
      <c r="AV40" s="259"/>
      <c r="AW40" s="259"/>
      <c r="AX40" s="252"/>
      <c r="AY40" s="255"/>
      <c r="AZ40" s="255"/>
      <c r="BA40" s="255"/>
      <c r="BB40" s="255"/>
      <c r="BC40" s="256"/>
      <c r="BD40" s="255"/>
      <c r="BE40" s="255"/>
      <c r="BF40" s="255"/>
      <c r="BG40" s="255"/>
      <c r="BH40" s="256"/>
      <c r="BI40" s="255"/>
      <c r="BJ40" s="255"/>
      <c r="BK40" s="255"/>
      <c r="BL40" s="255"/>
    </row>
    <row r="42" spans="1:64" ht="17.25" hidden="1" customHeight="1" x14ac:dyDescent="0.25"/>
    <row r="43" spans="1:64" ht="17.25" hidden="1" customHeight="1" x14ac:dyDescent="0.25"/>
    <row r="44" spans="1:64" ht="17.25" hidden="1" customHeight="1" x14ac:dyDescent="0.25">
      <c r="B44" s="1" t="str">
        <f>B3</f>
        <v>PANCALDI Walter</v>
      </c>
      <c r="C44" s="1" t="str">
        <f>LEFT(D44,3)</f>
        <v>Hag</v>
      </c>
      <c r="D44" s="1" t="str">
        <f>D3</f>
        <v>Hagondange</v>
      </c>
    </row>
    <row r="45" spans="1:64" ht="17.25" hidden="1" customHeight="1" x14ac:dyDescent="0.25">
      <c r="B45" s="1" t="str">
        <f t="shared" ref="B45:B81" si="0">B4</f>
        <v>OSWALD Christian</v>
      </c>
      <c r="C45" s="1" t="str">
        <f t="shared" ref="C45:C108" si="1">LEFT(D45,3)</f>
        <v>Sar</v>
      </c>
      <c r="D45" s="1" t="str">
        <f t="shared" ref="D45:D81" si="2">D4</f>
        <v>Sarreguemines</v>
      </c>
    </row>
    <row r="46" spans="1:64" ht="17.25" hidden="1" customHeight="1" x14ac:dyDescent="0.25">
      <c r="B46" s="1" t="str">
        <f t="shared" si="0"/>
        <v>LECLERC Philippe</v>
      </c>
      <c r="C46" s="1" t="str">
        <f t="shared" si="1"/>
        <v>Hag</v>
      </c>
      <c r="D46" s="1" t="str">
        <f t="shared" si="2"/>
        <v>Hagondange</v>
      </c>
    </row>
    <row r="47" spans="1:64" ht="17.25" hidden="1" customHeight="1" x14ac:dyDescent="0.25">
      <c r="B47" s="1" t="str">
        <f t="shared" si="0"/>
        <v>INFANTINO Bénédetto</v>
      </c>
      <c r="C47" s="1" t="str">
        <f t="shared" si="1"/>
        <v>Pet</v>
      </c>
      <c r="D47" s="1" t="str">
        <f t="shared" si="2"/>
        <v>Petite Rosselle</v>
      </c>
    </row>
    <row r="48" spans="1:64" ht="17.25" hidden="1" customHeight="1" x14ac:dyDescent="0.25">
      <c r="B48" s="1" t="str">
        <f t="shared" si="0"/>
        <v>MESA José</v>
      </c>
      <c r="C48" s="1" t="str">
        <f t="shared" si="1"/>
        <v>Met</v>
      </c>
      <c r="D48" s="1" t="str">
        <f t="shared" si="2"/>
        <v>Metz</v>
      </c>
    </row>
    <row r="49" spans="2:4" ht="17.25" hidden="1" customHeight="1" x14ac:dyDescent="0.25">
      <c r="B49" s="1" t="str">
        <f t="shared" si="0"/>
        <v>SCHWARTZ Julien</v>
      </c>
      <c r="C49" s="1" t="str">
        <f t="shared" si="1"/>
        <v>Flo</v>
      </c>
      <c r="D49" s="1" t="str">
        <f t="shared" si="2"/>
        <v>Florange</v>
      </c>
    </row>
    <row r="50" spans="2:4" ht="17.25" hidden="1" customHeight="1" x14ac:dyDescent="0.25">
      <c r="B50" s="1" t="str">
        <f t="shared" si="0"/>
        <v>KLEIN Christophe</v>
      </c>
      <c r="C50" s="1" t="str">
        <f t="shared" si="1"/>
        <v xml:space="preserve">St </v>
      </c>
      <c r="D50" s="1" t="str">
        <f t="shared" si="2"/>
        <v>St Avold</v>
      </c>
    </row>
    <row r="51" spans="2:4" ht="17.25" hidden="1" customHeight="1" x14ac:dyDescent="0.25">
      <c r="B51" s="1" t="str">
        <f t="shared" si="0"/>
        <v>MARCONI Dominique</v>
      </c>
      <c r="C51" s="1" t="str">
        <f t="shared" si="1"/>
        <v>Met</v>
      </c>
      <c r="D51" s="1" t="str">
        <f t="shared" si="2"/>
        <v>Metz</v>
      </c>
    </row>
    <row r="52" spans="2:4" ht="17.25" hidden="1" customHeight="1" x14ac:dyDescent="0.25">
      <c r="B52" s="1">
        <f t="shared" si="0"/>
        <v>0</v>
      </c>
      <c r="C52" s="1" t="str">
        <f t="shared" si="1"/>
        <v>0</v>
      </c>
      <c r="D52" s="1">
        <f t="shared" si="2"/>
        <v>0</v>
      </c>
    </row>
    <row r="53" spans="2:4" ht="17.25" hidden="1" customHeight="1" x14ac:dyDescent="0.25">
      <c r="B53" s="1">
        <f t="shared" si="0"/>
        <v>0</v>
      </c>
      <c r="C53" s="1" t="str">
        <f t="shared" si="1"/>
        <v>0</v>
      </c>
      <c r="D53" s="1">
        <f t="shared" si="2"/>
        <v>0</v>
      </c>
    </row>
    <row r="54" spans="2:4" ht="17.25" hidden="1" customHeight="1" x14ac:dyDescent="0.25">
      <c r="B54" s="1">
        <f t="shared" si="0"/>
        <v>0</v>
      </c>
      <c r="C54" s="1" t="str">
        <f t="shared" si="1"/>
        <v>0</v>
      </c>
      <c r="D54" s="1">
        <f t="shared" si="2"/>
        <v>0</v>
      </c>
    </row>
    <row r="55" spans="2:4" ht="17.25" hidden="1" customHeight="1" x14ac:dyDescent="0.25">
      <c r="B55" s="1">
        <f t="shared" si="0"/>
        <v>0</v>
      </c>
      <c r="C55" s="1" t="str">
        <f t="shared" si="1"/>
        <v>0</v>
      </c>
      <c r="D55" s="1">
        <f t="shared" si="2"/>
        <v>0</v>
      </c>
    </row>
    <row r="56" spans="2:4" ht="17.25" hidden="1" customHeight="1" x14ac:dyDescent="0.25">
      <c r="B56" s="1">
        <f t="shared" si="0"/>
        <v>0</v>
      </c>
      <c r="C56" s="1" t="str">
        <f t="shared" si="1"/>
        <v>0</v>
      </c>
      <c r="D56" s="1">
        <f t="shared" si="2"/>
        <v>0</v>
      </c>
    </row>
    <row r="57" spans="2:4" ht="17.25" hidden="1" customHeight="1" x14ac:dyDescent="0.25">
      <c r="B57" s="1">
        <f t="shared" si="0"/>
        <v>0</v>
      </c>
      <c r="C57" s="1" t="str">
        <f t="shared" si="1"/>
        <v>0</v>
      </c>
      <c r="D57" s="1">
        <f t="shared" si="2"/>
        <v>0</v>
      </c>
    </row>
    <row r="58" spans="2:4" ht="17.25" hidden="1" customHeight="1" x14ac:dyDescent="0.25">
      <c r="B58" s="1">
        <f t="shared" si="0"/>
        <v>0</v>
      </c>
      <c r="C58" s="1" t="str">
        <f t="shared" si="1"/>
        <v>0</v>
      </c>
      <c r="D58" s="1">
        <f t="shared" si="2"/>
        <v>0</v>
      </c>
    </row>
    <row r="59" spans="2:4" ht="17.25" hidden="1" customHeight="1" x14ac:dyDescent="0.25">
      <c r="B59" s="1">
        <f t="shared" si="0"/>
        <v>0</v>
      </c>
      <c r="C59" s="1" t="str">
        <f t="shared" si="1"/>
        <v>0</v>
      </c>
      <c r="D59" s="1">
        <f t="shared" si="2"/>
        <v>0</v>
      </c>
    </row>
    <row r="60" spans="2:4" ht="17.25" hidden="1" customHeight="1" x14ac:dyDescent="0.25">
      <c r="B60" s="1">
        <f t="shared" si="0"/>
        <v>0</v>
      </c>
      <c r="C60" s="1" t="str">
        <f t="shared" si="1"/>
        <v>0</v>
      </c>
      <c r="D60" s="1">
        <f t="shared" si="2"/>
        <v>0</v>
      </c>
    </row>
    <row r="61" spans="2:4" ht="17.25" hidden="1" customHeight="1" x14ac:dyDescent="0.25">
      <c r="B61" s="1">
        <f t="shared" si="0"/>
        <v>0</v>
      </c>
      <c r="C61" s="1" t="str">
        <f t="shared" si="1"/>
        <v>0</v>
      </c>
      <c r="D61" s="1">
        <f t="shared" si="2"/>
        <v>0</v>
      </c>
    </row>
    <row r="62" spans="2:4" ht="17.25" hidden="1" customHeight="1" x14ac:dyDescent="0.25">
      <c r="B62" s="1">
        <f t="shared" si="0"/>
        <v>0</v>
      </c>
      <c r="C62" s="1" t="str">
        <f t="shared" si="1"/>
        <v>0</v>
      </c>
      <c r="D62" s="1">
        <f t="shared" si="2"/>
        <v>0</v>
      </c>
    </row>
    <row r="63" spans="2:4" ht="17.25" hidden="1" customHeight="1" x14ac:dyDescent="0.25">
      <c r="B63" s="1">
        <f t="shared" si="0"/>
        <v>0</v>
      </c>
      <c r="C63" s="1" t="str">
        <f t="shared" si="1"/>
        <v>0</v>
      </c>
      <c r="D63" s="1">
        <f t="shared" si="2"/>
        <v>0</v>
      </c>
    </row>
    <row r="64" spans="2:4" ht="17.25" hidden="1" customHeight="1" x14ac:dyDescent="0.25">
      <c r="B64" s="1">
        <f t="shared" si="0"/>
        <v>0</v>
      </c>
      <c r="C64" s="1" t="str">
        <f t="shared" si="1"/>
        <v>0</v>
      </c>
      <c r="D64" s="1">
        <f t="shared" si="2"/>
        <v>0</v>
      </c>
    </row>
    <row r="65" spans="2:4" ht="17.25" hidden="1" customHeight="1" x14ac:dyDescent="0.25">
      <c r="B65" s="1">
        <f t="shared" si="0"/>
        <v>0</v>
      </c>
      <c r="C65" s="1" t="str">
        <f t="shared" si="1"/>
        <v>0</v>
      </c>
      <c r="D65" s="1">
        <f t="shared" si="2"/>
        <v>0</v>
      </c>
    </row>
    <row r="66" spans="2:4" ht="17.25" hidden="1" customHeight="1" x14ac:dyDescent="0.25">
      <c r="B66" s="1">
        <f t="shared" si="0"/>
        <v>0</v>
      </c>
      <c r="C66" s="1" t="str">
        <f t="shared" si="1"/>
        <v>0</v>
      </c>
      <c r="D66" s="1">
        <f t="shared" si="2"/>
        <v>0</v>
      </c>
    </row>
    <row r="67" spans="2:4" ht="17.25" hidden="1" customHeight="1" x14ac:dyDescent="0.25">
      <c r="B67" s="1">
        <f t="shared" si="0"/>
        <v>0</v>
      </c>
      <c r="C67" s="1" t="str">
        <f t="shared" si="1"/>
        <v>0</v>
      </c>
      <c r="D67" s="1">
        <f t="shared" si="2"/>
        <v>0</v>
      </c>
    </row>
    <row r="68" spans="2:4" ht="17.25" hidden="1" customHeight="1" x14ac:dyDescent="0.25">
      <c r="B68" s="1">
        <f t="shared" si="0"/>
        <v>0</v>
      </c>
      <c r="C68" s="1" t="str">
        <f t="shared" si="1"/>
        <v>0</v>
      </c>
      <c r="D68" s="1">
        <f t="shared" si="2"/>
        <v>0</v>
      </c>
    </row>
    <row r="69" spans="2:4" ht="17.25" hidden="1" customHeight="1" x14ac:dyDescent="0.25">
      <c r="B69" s="1">
        <f t="shared" si="0"/>
        <v>0</v>
      </c>
      <c r="C69" s="1" t="str">
        <f t="shared" si="1"/>
        <v>0</v>
      </c>
      <c r="D69" s="1">
        <f t="shared" si="2"/>
        <v>0</v>
      </c>
    </row>
    <row r="70" spans="2:4" ht="17.25" hidden="1" customHeight="1" x14ac:dyDescent="0.25">
      <c r="B70" s="1">
        <f t="shared" si="0"/>
        <v>0</v>
      </c>
      <c r="C70" s="1" t="str">
        <f t="shared" si="1"/>
        <v>0</v>
      </c>
      <c r="D70" s="1">
        <f t="shared" si="2"/>
        <v>0</v>
      </c>
    </row>
    <row r="71" spans="2:4" ht="17.25" hidden="1" customHeight="1" x14ac:dyDescent="0.25">
      <c r="B71" s="1">
        <f t="shared" si="0"/>
        <v>0</v>
      </c>
      <c r="C71" s="1" t="str">
        <f t="shared" si="1"/>
        <v>0</v>
      </c>
      <c r="D71" s="1">
        <f t="shared" si="2"/>
        <v>0</v>
      </c>
    </row>
    <row r="72" spans="2:4" ht="17.25" hidden="1" customHeight="1" x14ac:dyDescent="0.25">
      <c r="B72" s="1">
        <f t="shared" si="0"/>
        <v>0</v>
      </c>
      <c r="C72" s="1" t="str">
        <f t="shared" si="1"/>
        <v>0</v>
      </c>
      <c r="D72" s="1">
        <f t="shared" si="2"/>
        <v>0</v>
      </c>
    </row>
    <row r="73" spans="2:4" ht="17.25" hidden="1" customHeight="1" x14ac:dyDescent="0.25">
      <c r="B73" s="1">
        <f t="shared" si="0"/>
        <v>0</v>
      </c>
      <c r="C73" s="1" t="str">
        <f t="shared" si="1"/>
        <v>0</v>
      </c>
      <c r="D73" s="1">
        <f t="shared" si="2"/>
        <v>0</v>
      </c>
    </row>
    <row r="74" spans="2:4" ht="17.25" hidden="1" customHeight="1" x14ac:dyDescent="0.25">
      <c r="B74" s="1">
        <f t="shared" si="0"/>
        <v>0</v>
      </c>
      <c r="C74" s="1" t="str">
        <f t="shared" si="1"/>
        <v>0</v>
      </c>
      <c r="D74" s="1">
        <f t="shared" si="2"/>
        <v>0</v>
      </c>
    </row>
    <row r="75" spans="2:4" ht="17.25" hidden="1" customHeight="1" x14ac:dyDescent="0.25">
      <c r="B75" s="1">
        <f t="shared" si="0"/>
        <v>0</v>
      </c>
      <c r="C75" s="1" t="str">
        <f t="shared" si="1"/>
        <v>0</v>
      </c>
      <c r="D75" s="1">
        <f t="shared" si="2"/>
        <v>0</v>
      </c>
    </row>
    <row r="76" spans="2:4" ht="17.25" hidden="1" customHeight="1" x14ac:dyDescent="0.25">
      <c r="B76" s="1">
        <f t="shared" si="0"/>
        <v>0</v>
      </c>
      <c r="C76" s="1" t="str">
        <f t="shared" si="1"/>
        <v>0</v>
      </c>
      <c r="D76" s="1">
        <f t="shared" si="2"/>
        <v>0</v>
      </c>
    </row>
    <row r="77" spans="2:4" ht="17.25" hidden="1" customHeight="1" x14ac:dyDescent="0.25">
      <c r="B77" s="1">
        <f t="shared" si="0"/>
        <v>0</v>
      </c>
      <c r="C77" s="1" t="str">
        <f t="shared" si="1"/>
        <v>0</v>
      </c>
      <c r="D77" s="1">
        <f t="shared" si="2"/>
        <v>0</v>
      </c>
    </row>
    <row r="78" spans="2:4" ht="17.25" hidden="1" customHeight="1" x14ac:dyDescent="0.25">
      <c r="B78" s="1">
        <f t="shared" si="0"/>
        <v>0</v>
      </c>
      <c r="C78" s="1" t="str">
        <f t="shared" si="1"/>
        <v>0</v>
      </c>
      <c r="D78" s="1">
        <f t="shared" si="2"/>
        <v>0</v>
      </c>
    </row>
    <row r="79" spans="2:4" ht="17.25" hidden="1" customHeight="1" x14ac:dyDescent="0.25">
      <c r="B79" s="1">
        <f t="shared" si="0"/>
        <v>0</v>
      </c>
      <c r="C79" s="1" t="str">
        <f t="shared" si="1"/>
        <v>0</v>
      </c>
      <c r="D79" s="1">
        <f t="shared" si="2"/>
        <v>0</v>
      </c>
    </row>
    <row r="80" spans="2:4" ht="17.25" hidden="1" customHeight="1" x14ac:dyDescent="0.25">
      <c r="B80" s="1">
        <f t="shared" si="0"/>
        <v>0</v>
      </c>
      <c r="C80" s="1" t="str">
        <f t="shared" si="1"/>
        <v>0</v>
      </c>
      <c r="D80" s="1">
        <f t="shared" si="2"/>
        <v>0</v>
      </c>
    </row>
    <row r="81" spans="2:4" ht="17.25" hidden="1" customHeight="1" x14ac:dyDescent="0.25">
      <c r="B81" s="1">
        <f t="shared" si="0"/>
        <v>0</v>
      </c>
      <c r="C81" s="1" t="str">
        <f t="shared" si="1"/>
        <v>0</v>
      </c>
      <c r="D81" s="1">
        <f t="shared" si="2"/>
        <v>0</v>
      </c>
    </row>
    <row r="82" spans="2:4" ht="17.25" hidden="1" customHeight="1" x14ac:dyDescent="0.25">
      <c r="B82" s="1" t="str">
        <f>G3</f>
        <v>BELLINI Jacques</v>
      </c>
      <c r="C82" s="1" t="str">
        <f t="shared" si="1"/>
        <v>Hag</v>
      </c>
      <c r="D82" s="1" t="str">
        <f>I3</f>
        <v>Hagondange</v>
      </c>
    </row>
    <row r="83" spans="2:4" ht="17.25" hidden="1" customHeight="1" x14ac:dyDescent="0.25">
      <c r="B83" s="1" t="str">
        <f t="shared" ref="B83:B119" si="3">G4</f>
        <v>GOUVERNEL Pierre</v>
      </c>
      <c r="C83" s="1" t="str">
        <f t="shared" si="1"/>
        <v>Flo</v>
      </c>
      <c r="D83" s="1" t="str">
        <f t="shared" ref="D83:D119" si="4">I4</f>
        <v>Florange</v>
      </c>
    </row>
    <row r="84" spans="2:4" ht="17.25" hidden="1" customHeight="1" x14ac:dyDescent="0.25">
      <c r="B84" s="1" t="str">
        <f t="shared" si="3"/>
        <v>BONNEFOY Joel</v>
      </c>
      <c r="C84" s="1" t="str">
        <f t="shared" si="1"/>
        <v>Sar</v>
      </c>
      <c r="D84" s="1" t="str">
        <f t="shared" si="4"/>
        <v>Sarreguemines</v>
      </c>
    </row>
    <row r="85" spans="2:4" ht="17.25" hidden="1" customHeight="1" x14ac:dyDescent="0.25">
      <c r="B85" s="1" t="str">
        <f t="shared" si="3"/>
        <v>FRANCK Pascal</v>
      </c>
      <c r="C85" s="1" t="str">
        <f t="shared" si="1"/>
        <v>Hag</v>
      </c>
      <c r="D85" s="1" t="str">
        <f t="shared" si="4"/>
        <v>Hagondange</v>
      </c>
    </row>
    <row r="86" spans="2:4" ht="17.25" hidden="1" customHeight="1" x14ac:dyDescent="0.25">
      <c r="B86" s="1" t="str">
        <f t="shared" si="3"/>
        <v>LENA Daniel</v>
      </c>
      <c r="C86" s="1" t="str">
        <f t="shared" si="1"/>
        <v>Flo</v>
      </c>
      <c r="D86" s="1" t="str">
        <f t="shared" si="4"/>
        <v>Florange</v>
      </c>
    </row>
    <row r="87" spans="2:4" ht="17.25" hidden="1" customHeight="1" x14ac:dyDescent="0.25">
      <c r="B87" s="1" t="str">
        <f t="shared" si="3"/>
        <v>MALVAREZ Jean</v>
      </c>
      <c r="C87" s="1" t="str">
        <f t="shared" si="1"/>
        <v>Hag</v>
      </c>
      <c r="D87" s="1" t="str">
        <f t="shared" si="4"/>
        <v>Hagondange</v>
      </c>
    </row>
    <row r="88" spans="2:4" ht="17.25" hidden="1" customHeight="1" x14ac:dyDescent="0.25">
      <c r="B88" s="1" t="str">
        <f t="shared" si="3"/>
        <v>LEGRAND Robert</v>
      </c>
      <c r="C88" s="1" t="str">
        <f t="shared" si="1"/>
        <v>Flo</v>
      </c>
      <c r="D88" s="1" t="str">
        <f t="shared" si="4"/>
        <v>Florange</v>
      </c>
    </row>
    <row r="89" spans="2:4" ht="17.25" hidden="1" customHeight="1" x14ac:dyDescent="0.25">
      <c r="B89" s="1" t="str">
        <f t="shared" si="3"/>
        <v>RUZZON Bruno</v>
      </c>
      <c r="C89" s="1" t="str">
        <f t="shared" si="1"/>
        <v>Knu</v>
      </c>
      <c r="D89" s="1" t="str">
        <f t="shared" si="4"/>
        <v>Knutange</v>
      </c>
    </row>
    <row r="90" spans="2:4" ht="17.25" hidden="1" customHeight="1" x14ac:dyDescent="0.25">
      <c r="B90" s="1" t="str">
        <f t="shared" si="3"/>
        <v>VADALA Gino</v>
      </c>
      <c r="C90" s="1" t="str">
        <f t="shared" si="1"/>
        <v>Knu</v>
      </c>
      <c r="D90" s="1" t="str">
        <f t="shared" si="4"/>
        <v>Knutange</v>
      </c>
    </row>
    <row r="91" spans="2:4" ht="17.25" hidden="1" customHeight="1" x14ac:dyDescent="0.25">
      <c r="B91" s="1">
        <f t="shared" si="3"/>
        <v>0</v>
      </c>
      <c r="C91" s="1" t="str">
        <f t="shared" si="1"/>
        <v>0</v>
      </c>
      <c r="D91" s="1">
        <f t="shared" si="4"/>
        <v>0</v>
      </c>
    </row>
    <row r="92" spans="2:4" ht="17.25" hidden="1" customHeight="1" x14ac:dyDescent="0.25">
      <c r="B92" s="1">
        <f t="shared" si="3"/>
        <v>0</v>
      </c>
      <c r="C92" s="1" t="str">
        <f t="shared" si="1"/>
        <v>0</v>
      </c>
      <c r="D92" s="1">
        <f t="shared" si="4"/>
        <v>0</v>
      </c>
    </row>
    <row r="93" spans="2:4" ht="17.25" hidden="1" customHeight="1" x14ac:dyDescent="0.25">
      <c r="B93" s="1">
        <f t="shared" si="3"/>
        <v>0</v>
      </c>
      <c r="C93" s="1" t="str">
        <f t="shared" si="1"/>
        <v>0</v>
      </c>
      <c r="D93" s="1">
        <f t="shared" si="4"/>
        <v>0</v>
      </c>
    </row>
    <row r="94" spans="2:4" ht="17.25" hidden="1" customHeight="1" x14ac:dyDescent="0.25">
      <c r="B94" s="1">
        <f t="shared" si="3"/>
        <v>0</v>
      </c>
      <c r="C94" s="1" t="str">
        <f t="shared" si="1"/>
        <v>0</v>
      </c>
      <c r="D94" s="1">
        <f t="shared" si="4"/>
        <v>0</v>
      </c>
    </row>
    <row r="95" spans="2:4" ht="17.25" hidden="1" customHeight="1" x14ac:dyDescent="0.25">
      <c r="B95" s="1">
        <f t="shared" si="3"/>
        <v>0</v>
      </c>
      <c r="C95" s="1" t="str">
        <f t="shared" si="1"/>
        <v>0</v>
      </c>
      <c r="D95" s="1">
        <f t="shared" si="4"/>
        <v>0</v>
      </c>
    </row>
    <row r="96" spans="2:4" ht="17.25" hidden="1" customHeight="1" x14ac:dyDescent="0.25">
      <c r="B96" s="1">
        <f t="shared" si="3"/>
        <v>0</v>
      </c>
      <c r="C96" s="1" t="str">
        <f t="shared" si="1"/>
        <v>0</v>
      </c>
      <c r="D96" s="1">
        <f t="shared" si="4"/>
        <v>0</v>
      </c>
    </row>
    <row r="97" spans="2:4" ht="17.25" hidden="1" customHeight="1" x14ac:dyDescent="0.25">
      <c r="B97" s="1">
        <f t="shared" si="3"/>
        <v>0</v>
      </c>
      <c r="C97" s="1" t="str">
        <f t="shared" si="1"/>
        <v>0</v>
      </c>
      <c r="D97" s="1">
        <f t="shared" si="4"/>
        <v>0</v>
      </c>
    </row>
    <row r="98" spans="2:4" ht="17.25" hidden="1" customHeight="1" x14ac:dyDescent="0.25">
      <c r="B98" s="1">
        <f t="shared" si="3"/>
        <v>0</v>
      </c>
      <c r="C98" s="1" t="str">
        <f t="shared" si="1"/>
        <v>0</v>
      </c>
      <c r="D98" s="1">
        <f t="shared" si="4"/>
        <v>0</v>
      </c>
    </row>
    <row r="99" spans="2:4" ht="17.25" hidden="1" customHeight="1" x14ac:dyDescent="0.25">
      <c r="B99" s="1">
        <f t="shared" si="3"/>
        <v>0</v>
      </c>
      <c r="C99" s="1" t="str">
        <f t="shared" si="1"/>
        <v>0</v>
      </c>
      <c r="D99" s="1">
        <f t="shared" si="4"/>
        <v>0</v>
      </c>
    </row>
    <row r="100" spans="2:4" ht="17.25" hidden="1" customHeight="1" x14ac:dyDescent="0.25">
      <c r="B100" s="1">
        <f t="shared" si="3"/>
        <v>0</v>
      </c>
      <c r="C100" s="1" t="str">
        <f t="shared" si="1"/>
        <v>0</v>
      </c>
      <c r="D100" s="1">
        <f t="shared" si="4"/>
        <v>0</v>
      </c>
    </row>
    <row r="101" spans="2:4" ht="17.25" hidden="1" customHeight="1" x14ac:dyDescent="0.25">
      <c r="B101" s="1">
        <f t="shared" si="3"/>
        <v>0</v>
      </c>
      <c r="C101" s="1" t="str">
        <f t="shared" si="1"/>
        <v>0</v>
      </c>
      <c r="D101" s="1">
        <f t="shared" si="4"/>
        <v>0</v>
      </c>
    </row>
    <row r="102" spans="2:4" ht="17.25" hidden="1" customHeight="1" x14ac:dyDescent="0.25">
      <c r="B102" s="1">
        <f t="shared" si="3"/>
        <v>0</v>
      </c>
      <c r="C102" s="1" t="str">
        <f t="shared" si="1"/>
        <v>0</v>
      </c>
      <c r="D102" s="1">
        <f t="shared" si="4"/>
        <v>0</v>
      </c>
    </row>
    <row r="103" spans="2:4" ht="17.25" hidden="1" customHeight="1" x14ac:dyDescent="0.25">
      <c r="B103" s="1">
        <f t="shared" si="3"/>
        <v>0</v>
      </c>
      <c r="C103" s="1" t="str">
        <f t="shared" si="1"/>
        <v>0</v>
      </c>
      <c r="D103" s="1">
        <f t="shared" si="4"/>
        <v>0</v>
      </c>
    </row>
    <row r="104" spans="2:4" ht="17.25" hidden="1" customHeight="1" x14ac:dyDescent="0.25">
      <c r="B104" s="1">
        <f t="shared" si="3"/>
        <v>0</v>
      </c>
      <c r="C104" s="1" t="str">
        <f t="shared" si="1"/>
        <v>0</v>
      </c>
      <c r="D104" s="1">
        <f t="shared" si="4"/>
        <v>0</v>
      </c>
    </row>
    <row r="105" spans="2:4" ht="17.25" hidden="1" customHeight="1" x14ac:dyDescent="0.25">
      <c r="B105" s="1">
        <f t="shared" si="3"/>
        <v>0</v>
      </c>
      <c r="C105" s="1" t="str">
        <f t="shared" si="1"/>
        <v>0</v>
      </c>
      <c r="D105" s="1">
        <f t="shared" si="4"/>
        <v>0</v>
      </c>
    </row>
    <row r="106" spans="2:4" ht="17.25" hidden="1" customHeight="1" x14ac:dyDescent="0.25">
      <c r="B106" s="1">
        <f t="shared" si="3"/>
        <v>0</v>
      </c>
      <c r="C106" s="1" t="str">
        <f t="shared" si="1"/>
        <v>0</v>
      </c>
      <c r="D106" s="1">
        <f t="shared" si="4"/>
        <v>0</v>
      </c>
    </row>
    <row r="107" spans="2:4" ht="17.25" hidden="1" customHeight="1" x14ac:dyDescent="0.25">
      <c r="B107" s="1">
        <f t="shared" si="3"/>
        <v>0</v>
      </c>
      <c r="C107" s="1" t="str">
        <f t="shared" si="1"/>
        <v>0</v>
      </c>
      <c r="D107" s="1">
        <f t="shared" si="4"/>
        <v>0</v>
      </c>
    </row>
    <row r="108" spans="2:4" ht="17.25" hidden="1" customHeight="1" x14ac:dyDescent="0.25">
      <c r="B108" s="1">
        <f t="shared" si="3"/>
        <v>0</v>
      </c>
      <c r="C108" s="1" t="str">
        <f t="shared" si="1"/>
        <v>0</v>
      </c>
      <c r="D108" s="1">
        <f t="shared" si="4"/>
        <v>0</v>
      </c>
    </row>
    <row r="109" spans="2:4" ht="17.25" hidden="1" customHeight="1" x14ac:dyDescent="0.25">
      <c r="B109" s="1">
        <f t="shared" si="3"/>
        <v>0</v>
      </c>
      <c r="C109" s="1" t="str">
        <f t="shared" ref="C109:C172" si="5">LEFT(D109,3)</f>
        <v>0</v>
      </c>
      <c r="D109" s="1">
        <f t="shared" si="4"/>
        <v>0</v>
      </c>
    </row>
    <row r="110" spans="2:4" ht="17.25" hidden="1" customHeight="1" x14ac:dyDescent="0.25">
      <c r="B110" s="1">
        <f t="shared" si="3"/>
        <v>0</v>
      </c>
      <c r="C110" s="1" t="str">
        <f t="shared" si="5"/>
        <v>0</v>
      </c>
      <c r="D110" s="1">
        <f t="shared" si="4"/>
        <v>0</v>
      </c>
    </row>
    <row r="111" spans="2:4" ht="17.25" hidden="1" customHeight="1" x14ac:dyDescent="0.25">
      <c r="B111" s="1">
        <f t="shared" si="3"/>
        <v>0</v>
      </c>
      <c r="C111" s="1" t="str">
        <f t="shared" si="5"/>
        <v>0</v>
      </c>
      <c r="D111" s="1">
        <f t="shared" si="4"/>
        <v>0</v>
      </c>
    </row>
    <row r="112" spans="2:4" ht="17.25" hidden="1" customHeight="1" x14ac:dyDescent="0.25">
      <c r="B112" s="1">
        <f t="shared" si="3"/>
        <v>0</v>
      </c>
      <c r="C112" s="1" t="str">
        <f t="shared" si="5"/>
        <v>0</v>
      </c>
      <c r="D112" s="1">
        <f t="shared" si="4"/>
        <v>0</v>
      </c>
    </row>
    <row r="113" spans="2:4" ht="17.25" hidden="1" customHeight="1" x14ac:dyDescent="0.25">
      <c r="B113" s="1">
        <f t="shared" si="3"/>
        <v>0</v>
      </c>
      <c r="C113" s="1" t="str">
        <f t="shared" si="5"/>
        <v>0</v>
      </c>
      <c r="D113" s="1">
        <f t="shared" si="4"/>
        <v>0</v>
      </c>
    </row>
    <row r="114" spans="2:4" ht="17.25" hidden="1" customHeight="1" x14ac:dyDescent="0.25">
      <c r="B114" s="1">
        <f t="shared" si="3"/>
        <v>0</v>
      </c>
      <c r="C114" s="1" t="str">
        <f t="shared" si="5"/>
        <v>0</v>
      </c>
      <c r="D114" s="1">
        <f t="shared" si="4"/>
        <v>0</v>
      </c>
    </row>
    <row r="115" spans="2:4" ht="17.25" hidden="1" customHeight="1" x14ac:dyDescent="0.25">
      <c r="B115" s="1">
        <f t="shared" si="3"/>
        <v>0</v>
      </c>
      <c r="C115" s="1" t="str">
        <f t="shared" si="5"/>
        <v>0</v>
      </c>
      <c r="D115" s="1">
        <f t="shared" si="4"/>
        <v>0</v>
      </c>
    </row>
    <row r="116" spans="2:4" ht="17.25" hidden="1" customHeight="1" x14ac:dyDescent="0.25">
      <c r="B116" s="1">
        <f t="shared" si="3"/>
        <v>0</v>
      </c>
      <c r="C116" s="1" t="str">
        <f t="shared" si="5"/>
        <v>0</v>
      </c>
      <c r="D116" s="1">
        <f t="shared" si="4"/>
        <v>0</v>
      </c>
    </row>
    <row r="117" spans="2:4" ht="17.25" hidden="1" customHeight="1" x14ac:dyDescent="0.25">
      <c r="B117" s="1">
        <f t="shared" si="3"/>
        <v>0</v>
      </c>
      <c r="C117" s="1" t="str">
        <f t="shared" si="5"/>
        <v>0</v>
      </c>
      <c r="D117" s="1">
        <f t="shared" si="4"/>
        <v>0</v>
      </c>
    </row>
    <row r="118" spans="2:4" ht="17.25" hidden="1" customHeight="1" x14ac:dyDescent="0.25">
      <c r="B118" s="1">
        <f t="shared" si="3"/>
        <v>0</v>
      </c>
      <c r="C118" s="1" t="str">
        <f t="shared" si="5"/>
        <v>0</v>
      </c>
      <c r="D118" s="1">
        <f t="shared" si="4"/>
        <v>0</v>
      </c>
    </row>
    <row r="119" spans="2:4" ht="17.25" hidden="1" customHeight="1" x14ac:dyDescent="0.25">
      <c r="B119" s="1">
        <f t="shared" si="3"/>
        <v>0</v>
      </c>
      <c r="C119" s="1" t="str">
        <f t="shared" si="5"/>
        <v>0</v>
      </c>
      <c r="D119" s="1">
        <f t="shared" si="4"/>
        <v>0</v>
      </c>
    </row>
    <row r="120" spans="2:4" ht="17.25" hidden="1" customHeight="1" x14ac:dyDescent="0.25">
      <c r="B120" s="1" t="str">
        <f>L3</f>
        <v>OSWALD Christian</v>
      </c>
      <c r="C120" s="1" t="str">
        <f t="shared" si="5"/>
        <v>Sar</v>
      </c>
      <c r="D120" s="250" t="str">
        <f>N3</f>
        <v>Sarreguemines</v>
      </c>
    </row>
    <row r="121" spans="2:4" ht="17.25" hidden="1" customHeight="1" x14ac:dyDescent="0.25">
      <c r="B121" s="1" t="str">
        <f t="shared" ref="B121:B157" si="6">L4</f>
        <v>PONCET Francis</v>
      </c>
      <c r="C121" s="1" t="str">
        <f t="shared" si="5"/>
        <v xml:space="preserve">le </v>
      </c>
      <c r="D121" s="250" t="str">
        <f t="shared" ref="D121:D157" si="7">N4</f>
        <v>le Ban St. Martin</v>
      </c>
    </row>
    <row r="122" spans="2:4" ht="17.25" hidden="1" customHeight="1" x14ac:dyDescent="0.25">
      <c r="B122" s="1" t="str">
        <f t="shared" si="6"/>
        <v>BONNEFOY Joel</v>
      </c>
      <c r="C122" s="1" t="str">
        <f t="shared" si="5"/>
        <v>Sar</v>
      </c>
      <c r="D122" s="250" t="str">
        <f t="shared" si="7"/>
        <v>Sarreguemines</v>
      </c>
    </row>
    <row r="123" spans="2:4" ht="17.25" hidden="1" customHeight="1" x14ac:dyDescent="0.25">
      <c r="B123" s="1" t="str">
        <f t="shared" si="6"/>
        <v>SCHWARTZ Julien</v>
      </c>
      <c r="C123" s="1" t="str">
        <f t="shared" si="5"/>
        <v>Flo</v>
      </c>
      <c r="D123" s="250" t="str">
        <f t="shared" si="7"/>
        <v>Florange</v>
      </c>
    </row>
    <row r="124" spans="2:4" ht="17.25" hidden="1" customHeight="1" x14ac:dyDescent="0.25">
      <c r="B124" s="1" t="str">
        <f t="shared" si="6"/>
        <v>MARTIN Benoit</v>
      </c>
      <c r="C124" s="1" t="str">
        <f t="shared" si="5"/>
        <v>Flo</v>
      </c>
      <c r="D124" s="250" t="str">
        <f t="shared" si="7"/>
        <v>Florange</v>
      </c>
    </row>
    <row r="125" spans="2:4" ht="17.25" hidden="1" customHeight="1" x14ac:dyDescent="0.25">
      <c r="B125" s="1">
        <f t="shared" si="6"/>
        <v>0</v>
      </c>
      <c r="C125" s="1" t="str">
        <f t="shared" si="5"/>
        <v>0</v>
      </c>
      <c r="D125" s="250">
        <f t="shared" si="7"/>
        <v>0</v>
      </c>
    </row>
    <row r="126" spans="2:4" ht="17.25" hidden="1" customHeight="1" x14ac:dyDescent="0.25">
      <c r="B126" s="1">
        <f t="shared" si="6"/>
        <v>0</v>
      </c>
      <c r="C126" s="1" t="str">
        <f t="shared" si="5"/>
        <v>0</v>
      </c>
      <c r="D126" s="250">
        <f t="shared" si="7"/>
        <v>0</v>
      </c>
    </row>
    <row r="127" spans="2:4" ht="17.25" hidden="1" customHeight="1" x14ac:dyDescent="0.25">
      <c r="B127" s="1">
        <f t="shared" si="6"/>
        <v>0</v>
      </c>
      <c r="C127" s="1" t="str">
        <f t="shared" si="5"/>
        <v>0</v>
      </c>
      <c r="D127" s="250">
        <f t="shared" si="7"/>
        <v>0</v>
      </c>
    </row>
    <row r="128" spans="2:4" ht="17.25" hidden="1" customHeight="1" x14ac:dyDescent="0.25">
      <c r="B128" s="1">
        <f t="shared" si="6"/>
        <v>0</v>
      </c>
      <c r="C128" s="1" t="str">
        <f t="shared" si="5"/>
        <v>0</v>
      </c>
      <c r="D128" s="250">
        <f t="shared" si="7"/>
        <v>0</v>
      </c>
    </row>
    <row r="129" spans="2:4" ht="17.25" hidden="1" customHeight="1" x14ac:dyDescent="0.25">
      <c r="B129" s="1">
        <f t="shared" si="6"/>
        <v>0</v>
      </c>
      <c r="C129" s="1" t="str">
        <f t="shared" si="5"/>
        <v>0</v>
      </c>
      <c r="D129" s="250">
        <f t="shared" si="7"/>
        <v>0</v>
      </c>
    </row>
    <row r="130" spans="2:4" ht="17.25" hidden="1" customHeight="1" x14ac:dyDescent="0.25">
      <c r="B130" s="1">
        <f t="shared" si="6"/>
        <v>0</v>
      </c>
      <c r="C130" s="1" t="str">
        <f t="shared" si="5"/>
        <v>0</v>
      </c>
      <c r="D130" s="250">
        <f t="shared" si="7"/>
        <v>0</v>
      </c>
    </row>
    <row r="131" spans="2:4" ht="17.25" hidden="1" customHeight="1" x14ac:dyDescent="0.25">
      <c r="B131" s="1">
        <f t="shared" si="6"/>
        <v>0</v>
      </c>
      <c r="C131" s="1" t="str">
        <f t="shared" si="5"/>
        <v>0</v>
      </c>
      <c r="D131" s="250">
        <f t="shared" si="7"/>
        <v>0</v>
      </c>
    </row>
    <row r="132" spans="2:4" ht="17.25" hidden="1" customHeight="1" x14ac:dyDescent="0.25">
      <c r="B132" s="1">
        <f t="shared" si="6"/>
        <v>0</v>
      </c>
      <c r="C132" s="1" t="str">
        <f t="shared" si="5"/>
        <v>0</v>
      </c>
      <c r="D132" s="250">
        <f t="shared" si="7"/>
        <v>0</v>
      </c>
    </row>
    <row r="133" spans="2:4" ht="17.25" hidden="1" customHeight="1" x14ac:dyDescent="0.25">
      <c r="B133" s="1">
        <f t="shared" si="6"/>
        <v>0</v>
      </c>
      <c r="C133" s="1" t="str">
        <f t="shared" si="5"/>
        <v>0</v>
      </c>
      <c r="D133" s="250">
        <f t="shared" si="7"/>
        <v>0</v>
      </c>
    </row>
    <row r="134" spans="2:4" ht="17.25" hidden="1" customHeight="1" x14ac:dyDescent="0.25">
      <c r="B134" s="1">
        <f t="shared" si="6"/>
        <v>0</v>
      </c>
      <c r="C134" s="1" t="str">
        <f t="shared" si="5"/>
        <v>0</v>
      </c>
      <c r="D134" s="250">
        <f t="shared" si="7"/>
        <v>0</v>
      </c>
    </row>
    <row r="135" spans="2:4" ht="17.25" hidden="1" customHeight="1" x14ac:dyDescent="0.25">
      <c r="B135" s="1">
        <f t="shared" si="6"/>
        <v>0</v>
      </c>
      <c r="C135" s="1" t="str">
        <f t="shared" si="5"/>
        <v>0</v>
      </c>
      <c r="D135" s="250">
        <f t="shared" si="7"/>
        <v>0</v>
      </c>
    </row>
    <row r="136" spans="2:4" ht="17.25" hidden="1" customHeight="1" x14ac:dyDescent="0.25">
      <c r="B136" s="1">
        <f t="shared" si="6"/>
        <v>0</v>
      </c>
      <c r="C136" s="1" t="str">
        <f t="shared" si="5"/>
        <v>0</v>
      </c>
      <c r="D136" s="250">
        <f t="shared" si="7"/>
        <v>0</v>
      </c>
    </row>
    <row r="137" spans="2:4" ht="17.25" hidden="1" customHeight="1" x14ac:dyDescent="0.25">
      <c r="B137" s="1">
        <f t="shared" si="6"/>
        <v>0</v>
      </c>
      <c r="C137" s="1" t="str">
        <f t="shared" si="5"/>
        <v>0</v>
      </c>
      <c r="D137" s="250">
        <f t="shared" si="7"/>
        <v>0</v>
      </c>
    </row>
    <row r="138" spans="2:4" ht="17.25" hidden="1" customHeight="1" x14ac:dyDescent="0.25">
      <c r="B138" s="1">
        <f t="shared" si="6"/>
        <v>0</v>
      </c>
      <c r="C138" s="1" t="str">
        <f t="shared" si="5"/>
        <v>0</v>
      </c>
      <c r="D138" s="250">
        <f t="shared" si="7"/>
        <v>0</v>
      </c>
    </row>
    <row r="139" spans="2:4" ht="17.25" hidden="1" customHeight="1" x14ac:dyDescent="0.25">
      <c r="B139" s="1">
        <f t="shared" si="6"/>
        <v>0</v>
      </c>
      <c r="C139" s="1" t="str">
        <f t="shared" si="5"/>
        <v>0</v>
      </c>
      <c r="D139" s="250">
        <f t="shared" si="7"/>
        <v>0</v>
      </c>
    </row>
    <row r="140" spans="2:4" ht="17.25" hidden="1" customHeight="1" x14ac:dyDescent="0.25">
      <c r="B140" s="1">
        <f t="shared" si="6"/>
        <v>0</v>
      </c>
      <c r="C140" s="1" t="str">
        <f t="shared" si="5"/>
        <v>0</v>
      </c>
      <c r="D140" s="250">
        <f t="shared" si="7"/>
        <v>0</v>
      </c>
    </row>
    <row r="141" spans="2:4" ht="17.25" hidden="1" customHeight="1" x14ac:dyDescent="0.25">
      <c r="B141" s="1">
        <f t="shared" si="6"/>
        <v>0</v>
      </c>
      <c r="C141" s="1" t="str">
        <f t="shared" si="5"/>
        <v>0</v>
      </c>
      <c r="D141" s="250">
        <f t="shared" si="7"/>
        <v>0</v>
      </c>
    </row>
    <row r="142" spans="2:4" ht="17.25" hidden="1" customHeight="1" x14ac:dyDescent="0.25">
      <c r="B142" s="1">
        <f t="shared" si="6"/>
        <v>0</v>
      </c>
      <c r="C142" s="1" t="str">
        <f t="shared" si="5"/>
        <v>0</v>
      </c>
      <c r="D142" s="250">
        <f t="shared" si="7"/>
        <v>0</v>
      </c>
    </row>
    <row r="143" spans="2:4" ht="17.25" hidden="1" customHeight="1" x14ac:dyDescent="0.25">
      <c r="B143" s="1">
        <f t="shared" si="6"/>
        <v>0</v>
      </c>
      <c r="C143" s="1" t="str">
        <f t="shared" si="5"/>
        <v>0</v>
      </c>
      <c r="D143" s="250">
        <f t="shared" si="7"/>
        <v>0</v>
      </c>
    </row>
    <row r="144" spans="2:4" ht="17.25" hidden="1" customHeight="1" x14ac:dyDescent="0.25">
      <c r="B144" s="1">
        <f t="shared" si="6"/>
        <v>0</v>
      </c>
      <c r="C144" s="1" t="str">
        <f t="shared" si="5"/>
        <v>0</v>
      </c>
      <c r="D144" s="250">
        <f t="shared" si="7"/>
        <v>0</v>
      </c>
    </row>
    <row r="145" spans="2:4" ht="17.25" hidden="1" customHeight="1" x14ac:dyDescent="0.25">
      <c r="B145" s="1">
        <f t="shared" si="6"/>
        <v>0</v>
      </c>
      <c r="C145" s="1" t="str">
        <f t="shared" si="5"/>
        <v>0</v>
      </c>
      <c r="D145" s="250">
        <f t="shared" si="7"/>
        <v>0</v>
      </c>
    </row>
    <row r="146" spans="2:4" ht="17.25" hidden="1" customHeight="1" x14ac:dyDescent="0.25">
      <c r="B146" s="1">
        <f t="shared" si="6"/>
        <v>0</v>
      </c>
      <c r="C146" s="1" t="str">
        <f t="shared" si="5"/>
        <v>0</v>
      </c>
      <c r="D146" s="250">
        <f t="shared" si="7"/>
        <v>0</v>
      </c>
    </row>
    <row r="147" spans="2:4" ht="17.25" hidden="1" customHeight="1" x14ac:dyDescent="0.25">
      <c r="B147" s="1">
        <f t="shared" si="6"/>
        <v>0</v>
      </c>
      <c r="C147" s="1" t="str">
        <f t="shared" si="5"/>
        <v>0</v>
      </c>
      <c r="D147" s="250">
        <f t="shared" si="7"/>
        <v>0</v>
      </c>
    </row>
    <row r="148" spans="2:4" ht="17.25" hidden="1" customHeight="1" x14ac:dyDescent="0.25">
      <c r="B148" s="1">
        <f t="shared" si="6"/>
        <v>0</v>
      </c>
      <c r="C148" s="1" t="str">
        <f t="shared" si="5"/>
        <v>0</v>
      </c>
      <c r="D148" s="250">
        <f t="shared" si="7"/>
        <v>0</v>
      </c>
    </row>
    <row r="149" spans="2:4" ht="17.25" hidden="1" customHeight="1" x14ac:dyDescent="0.25">
      <c r="B149" s="1">
        <f t="shared" si="6"/>
        <v>0</v>
      </c>
      <c r="C149" s="1" t="str">
        <f t="shared" si="5"/>
        <v>0</v>
      </c>
      <c r="D149" s="250">
        <f t="shared" si="7"/>
        <v>0</v>
      </c>
    </row>
    <row r="150" spans="2:4" ht="17.25" hidden="1" customHeight="1" x14ac:dyDescent="0.25">
      <c r="B150" s="1">
        <f t="shared" si="6"/>
        <v>0</v>
      </c>
      <c r="C150" s="1" t="str">
        <f t="shared" si="5"/>
        <v>0</v>
      </c>
      <c r="D150" s="250">
        <f t="shared" si="7"/>
        <v>0</v>
      </c>
    </row>
    <row r="151" spans="2:4" ht="17.25" hidden="1" customHeight="1" x14ac:dyDescent="0.25">
      <c r="B151" s="1">
        <f t="shared" si="6"/>
        <v>0</v>
      </c>
      <c r="C151" s="1" t="str">
        <f t="shared" si="5"/>
        <v>0</v>
      </c>
      <c r="D151" s="250">
        <f t="shared" si="7"/>
        <v>0</v>
      </c>
    </row>
    <row r="152" spans="2:4" ht="17.25" hidden="1" customHeight="1" x14ac:dyDescent="0.25">
      <c r="B152" s="1">
        <f t="shared" si="6"/>
        <v>0</v>
      </c>
      <c r="C152" s="1" t="str">
        <f t="shared" si="5"/>
        <v>0</v>
      </c>
      <c r="D152" s="250">
        <f t="shared" si="7"/>
        <v>0</v>
      </c>
    </row>
    <row r="153" spans="2:4" ht="17.25" hidden="1" customHeight="1" x14ac:dyDescent="0.25">
      <c r="B153" s="1">
        <f t="shared" si="6"/>
        <v>0</v>
      </c>
      <c r="C153" s="1" t="str">
        <f t="shared" si="5"/>
        <v>0</v>
      </c>
      <c r="D153" s="250">
        <f t="shared" si="7"/>
        <v>0</v>
      </c>
    </row>
    <row r="154" spans="2:4" ht="17.25" hidden="1" customHeight="1" x14ac:dyDescent="0.25">
      <c r="B154" s="1">
        <f t="shared" si="6"/>
        <v>0</v>
      </c>
      <c r="C154" s="1" t="str">
        <f t="shared" si="5"/>
        <v>0</v>
      </c>
      <c r="D154" s="250">
        <f t="shared" si="7"/>
        <v>0</v>
      </c>
    </row>
    <row r="155" spans="2:4" ht="17.25" hidden="1" customHeight="1" x14ac:dyDescent="0.25">
      <c r="B155" s="1">
        <f t="shared" si="6"/>
        <v>0</v>
      </c>
      <c r="C155" s="1" t="str">
        <f t="shared" si="5"/>
        <v>0</v>
      </c>
      <c r="D155" s="250">
        <f t="shared" si="7"/>
        <v>0</v>
      </c>
    </row>
    <row r="156" spans="2:4" ht="17.25" hidden="1" customHeight="1" x14ac:dyDescent="0.25">
      <c r="B156" s="1">
        <f t="shared" si="6"/>
        <v>0</v>
      </c>
      <c r="C156" s="1" t="str">
        <f t="shared" si="5"/>
        <v>0</v>
      </c>
      <c r="D156" s="250">
        <f t="shared" si="7"/>
        <v>0</v>
      </c>
    </row>
    <row r="157" spans="2:4" ht="17.25" hidden="1" customHeight="1" x14ac:dyDescent="0.25">
      <c r="B157" s="1">
        <f t="shared" si="6"/>
        <v>0</v>
      </c>
      <c r="C157" s="1" t="str">
        <f t="shared" si="5"/>
        <v>0</v>
      </c>
      <c r="D157" s="250">
        <f t="shared" si="7"/>
        <v>0</v>
      </c>
    </row>
    <row r="158" spans="2:4" ht="17.25" hidden="1" customHeight="1" x14ac:dyDescent="0.25">
      <c r="B158" s="1" t="str">
        <f>Q3</f>
        <v>CAMPOLI Jean louis</v>
      </c>
      <c r="C158" s="1" t="str">
        <f t="shared" si="5"/>
        <v>Hag</v>
      </c>
      <c r="D158" s="250" t="str">
        <f>S3</f>
        <v>Hagondange</v>
      </c>
    </row>
    <row r="159" spans="2:4" ht="17.25" hidden="1" customHeight="1" x14ac:dyDescent="0.25">
      <c r="B159" s="1" t="str">
        <f t="shared" ref="B159:B195" si="8">Q4</f>
        <v>LECLERC Philippe</v>
      </c>
      <c r="C159" s="1" t="str">
        <f t="shared" si="5"/>
        <v>Hag</v>
      </c>
      <c r="D159" s="250" t="str">
        <f t="shared" ref="D159:D195" si="9">S4</f>
        <v>Hagondange</v>
      </c>
    </row>
    <row r="160" spans="2:4" ht="17.25" hidden="1" customHeight="1" x14ac:dyDescent="0.25">
      <c r="B160" s="1" t="str">
        <f t="shared" si="8"/>
        <v>BELLINI Jacques</v>
      </c>
      <c r="C160" s="1" t="str">
        <f t="shared" si="5"/>
        <v>Hag</v>
      </c>
      <c r="D160" s="250" t="str">
        <f t="shared" si="9"/>
        <v>Hagondange</v>
      </c>
    </row>
    <row r="161" spans="2:4" ht="17.25" hidden="1" customHeight="1" x14ac:dyDescent="0.25">
      <c r="B161" s="1">
        <f t="shared" si="8"/>
        <v>0</v>
      </c>
      <c r="C161" s="1" t="str">
        <f t="shared" si="5"/>
        <v>0</v>
      </c>
      <c r="D161" s="250">
        <f t="shared" si="9"/>
        <v>0</v>
      </c>
    </row>
    <row r="162" spans="2:4" ht="17.25" hidden="1" customHeight="1" x14ac:dyDescent="0.25">
      <c r="B162" s="1">
        <f t="shared" si="8"/>
        <v>0</v>
      </c>
      <c r="C162" s="1" t="str">
        <f t="shared" si="5"/>
        <v>0</v>
      </c>
      <c r="D162" s="250">
        <f t="shared" si="9"/>
        <v>0</v>
      </c>
    </row>
    <row r="163" spans="2:4" ht="17.25" hidden="1" customHeight="1" x14ac:dyDescent="0.25">
      <c r="B163" s="1">
        <f t="shared" si="8"/>
        <v>0</v>
      </c>
      <c r="C163" s="1" t="str">
        <f t="shared" si="5"/>
        <v>0</v>
      </c>
      <c r="D163" s="250">
        <f t="shared" si="9"/>
        <v>0</v>
      </c>
    </row>
    <row r="164" spans="2:4" ht="17.25" hidden="1" customHeight="1" x14ac:dyDescent="0.25">
      <c r="B164" s="1">
        <f t="shared" si="8"/>
        <v>0</v>
      </c>
      <c r="C164" s="1" t="str">
        <f t="shared" si="5"/>
        <v>0</v>
      </c>
      <c r="D164" s="250">
        <f t="shared" si="9"/>
        <v>0</v>
      </c>
    </row>
    <row r="165" spans="2:4" ht="17.25" hidden="1" customHeight="1" x14ac:dyDescent="0.25">
      <c r="B165" s="1">
        <f t="shared" si="8"/>
        <v>0</v>
      </c>
      <c r="C165" s="1" t="str">
        <f t="shared" si="5"/>
        <v>0</v>
      </c>
      <c r="D165" s="250">
        <f t="shared" si="9"/>
        <v>0</v>
      </c>
    </row>
    <row r="166" spans="2:4" ht="17.25" hidden="1" customHeight="1" x14ac:dyDescent="0.25">
      <c r="B166" s="1">
        <f t="shared" si="8"/>
        <v>0</v>
      </c>
      <c r="C166" s="1" t="str">
        <f t="shared" si="5"/>
        <v>0</v>
      </c>
      <c r="D166" s="250">
        <f t="shared" si="9"/>
        <v>0</v>
      </c>
    </row>
    <row r="167" spans="2:4" ht="17.25" hidden="1" customHeight="1" x14ac:dyDescent="0.25">
      <c r="B167" s="1">
        <f t="shared" si="8"/>
        <v>0</v>
      </c>
      <c r="C167" s="1" t="str">
        <f t="shared" si="5"/>
        <v>0</v>
      </c>
      <c r="D167" s="250">
        <f t="shared" si="9"/>
        <v>0</v>
      </c>
    </row>
    <row r="168" spans="2:4" ht="17.25" hidden="1" customHeight="1" x14ac:dyDescent="0.25">
      <c r="B168" s="1">
        <f t="shared" si="8"/>
        <v>0</v>
      </c>
      <c r="C168" s="1" t="str">
        <f t="shared" si="5"/>
        <v>0</v>
      </c>
      <c r="D168" s="250">
        <f t="shared" si="9"/>
        <v>0</v>
      </c>
    </row>
    <row r="169" spans="2:4" ht="17.25" hidden="1" customHeight="1" x14ac:dyDescent="0.25">
      <c r="B169" s="1">
        <f t="shared" si="8"/>
        <v>0</v>
      </c>
      <c r="C169" s="1" t="str">
        <f t="shared" si="5"/>
        <v>0</v>
      </c>
      <c r="D169" s="250">
        <f t="shared" si="9"/>
        <v>0</v>
      </c>
    </row>
    <row r="170" spans="2:4" ht="17.25" hidden="1" customHeight="1" x14ac:dyDescent="0.25">
      <c r="B170" s="1">
        <f t="shared" si="8"/>
        <v>0</v>
      </c>
      <c r="C170" s="1" t="str">
        <f t="shared" si="5"/>
        <v>0</v>
      </c>
      <c r="D170" s="250">
        <f t="shared" si="9"/>
        <v>0</v>
      </c>
    </row>
    <row r="171" spans="2:4" ht="17.25" hidden="1" customHeight="1" x14ac:dyDescent="0.25">
      <c r="B171" s="1">
        <f t="shared" si="8"/>
        <v>0</v>
      </c>
      <c r="C171" s="1" t="str">
        <f t="shared" si="5"/>
        <v>0</v>
      </c>
      <c r="D171" s="250">
        <f t="shared" si="9"/>
        <v>0</v>
      </c>
    </row>
    <row r="172" spans="2:4" ht="17.25" hidden="1" customHeight="1" x14ac:dyDescent="0.25">
      <c r="B172" s="1">
        <f t="shared" si="8"/>
        <v>0</v>
      </c>
      <c r="C172" s="1" t="str">
        <f t="shared" si="5"/>
        <v>0</v>
      </c>
      <c r="D172" s="250">
        <f t="shared" si="9"/>
        <v>0</v>
      </c>
    </row>
    <row r="173" spans="2:4" ht="17.25" hidden="1" customHeight="1" x14ac:dyDescent="0.25">
      <c r="B173" s="1">
        <f t="shared" si="8"/>
        <v>0</v>
      </c>
      <c r="C173" s="1" t="str">
        <f t="shared" ref="C173:C236" si="10">LEFT(D173,3)</f>
        <v>0</v>
      </c>
      <c r="D173" s="250">
        <f t="shared" si="9"/>
        <v>0</v>
      </c>
    </row>
    <row r="174" spans="2:4" ht="17.25" hidden="1" customHeight="1" x14ac:dyDescent="0.25">
      <c r="B174" s="1">
        <f t="shared" si="8"/>
        <v>0</v>
      </c>
      <c r="C174" s="1" t="str">
        <f t="shared" si="10"/>
        <v>0</v>
      </c>
      <c r="D174" s="250">
        <f t="shared" si="9"/>
        <v>0</v>
      </c>
    </row>
    <row r="175" spans="2:4" ht="17.25" hidden="1" customHeight="1" x14ac:dyDescent="0.25">
      <c r="B175" s="1">
        <f t="shared" si="8"/>
        <v>0</v>
      </c>
      <c r="C175" s="1" t="str">
        <f t="shared" si="10"/>
        <v>0</v>
      </c>
      <c r="D175" s="250">
        <f t="shared" si="9"/>
        <v>0</v>
      </c>
    </row>
    <row r="176" spans="2:4" ht="17.25" hidden="1" customHeight="1" x14ac:dyDescent="0.25">
      <c r="B176" s="1">
        <f t="shared" si="8"/>
        <v>0</v>
      </c>
      <c r="C176" s="1" t="str">
        <f t="shared" si="10"/>
        <v>0</v>
      </c>
      <c r="D176" s="250">
        <f t="shared" si="9"/>
        <v>0</v>
      </c>
    </row>
    <row r="177" spans="2:4" ht="17.25" hidden="1" customHeight="1" x14ac:dyDescent="0.25">
      <c r="B177" s="1">
        <f t="shared" si="8"/>
        <v>0</v>
      </c>
      <c r="C177" s="1" t="str">
        <f t="shared" si="10"/>
        <v>0</v>
      </c>
      <c r="D177" s="250">
        <f t="shared" si="9"/>
        <v>0</v>
      </c>
    </row>
    <row r="178" spans="2:4" ht="17.25" hidden="1" customHeight="1" x14ac:dyDescent="0.25">
      <c r="B178" s="1">
        <f t="shared" si="8"/>
        <v>0</v>
      </c>
      <c r="C178" s="1" t="str">
        <f t="shared" si="10"/>
        <v>0</v>
      </c>
      <c r="D178" s="250">
        <f t="shared" si="9"/>
        <v>0</v>
      </c>
    </row>
    <row r="179" spans="2:4" ht="17.25" hidden="1" customHeight="1" x14ac:dyDescent="0.25">
      <c r="B179" s="1">
        <f t="shared" si="8"/>
        <v>0</v>
      </c>
      <c r="C179" s="1" t="str">
        <f t="shared" si="10"/>
        <v>0</v>
      </c>
      <c r="D179" s="250">
        <f t="shared" si="9"/>
        <v>0</v>
      </c>
    </row>
    <row r="180" spans="2:4" ht="17.25" hidden="1" customHeight="1" x14ac:dyDescent="0.25">
      <c r="B180" s="1">
        <f t="shared" si="8"/>
        <v>0</v>
      </c>
      <c r="C180" s="1" t="str">
        <f t="shared" si="10"/>
        <v>0</v>
      </c>
      <c r="D180" s="250">
        <f t="shared" si="9"/>
        <v>0</v>
      </c>
    </row>
    <row r="181" spans="2:4" ht="17.25" hidden="1" customHeight="1" x14ac:dyDescent="0.25">
      <c r="B181" s="1">
        <f t="shared" si="8"/>
        <v>0</v>
      </c>
      <c r="C181" s="1" t="str">
        <f t="shared" si="10"/>
        <v>0</v>
      </c>
      <c r="D181" s="250">
        <f t="shared" si="9"/>
        <v>0</v>
      </c>
    </row>
    <row r="182" spans="2:4" ht="17.25" hidden="1" customHeight="1" x14ac:dyDescent="0.25">
      <c r="B182" s="1">
        <f t="shared" si="8"/>
        <v>0</v>
      </c>
      <c r="C182" s="1" t="str">
        <f t="shared" si="10"/>
        <v>0</v>
      </c>
      <c r="D182" s="250">
        <f t="shared" si="9"/>
        <v>0</v>
      </c>
    </row>
    <row r="183" spans="2:4" ht="17.25" hidden="1" customHeight="1" x14ac:dyDescent="0.25">
      <c r="B183" s="1">
        <f t="shared" si="8"/>
        <v>0</v>
      </c>
      <c r="C183" s="1" t="str">
        <f t="shared" si="10"/>
        <v>0</v>
      </c>
      <c r="D183" s="250">
        <f t="shared" si="9"/>
        <v>0</v>
      </c>
    </row>
    <row r="184" spans="2:4" ht="17.25" hidden="1" customHeight="1" x14ac:dyDescent="0.25">
      <c r="B184" s="1">
        <f t="shared" si="8"/>
        <v>0</v>
      </c>
      <c r="C184" s="1" t="str">
        <f t="shared" si="10"/>
        <v>0</v>
      </c>
      <c r="D184" s="250">
        <f t="shared" si="9"/>
        <v>0</v>
      </c>
    </row>
    <row r="185" spans="2:4" ht="17.25" hidden="1" customHeight="1" x14ac:dyDescent="0.25">
      <c r="B185" s="1">
        <f t="shared" si="8"/>
        <v>0</v>
      </c>
      <c r="C185" s="1" t="str">
        <f t="shared" si="10"/>
        <v>0</v>
      </c>
      <c r="D185" s="250">
        <f t="shared" si="9"/>
        <v>0</v>
      </c>
    </row>
    <row r="186" spans="2:4" ht="17.25" hidden="1" customHeight="1" x14ac:dyDescent="0.25">
      <c r="B186" s="1">
        <f t="shared" si="8"/>
        <v>0</v>
      </c>
      <c r="C186" s="1" t="str">
        <f t="shared" si="10"/>
        <v>0</v>
      </c>
      <c r="D186" s="250">
        <f t="shared" si="9"/>
        <v>0</v>
      </c>
    </row>
    <row r="187" spans="2:4" ht="17.25" hidden="1" customHeight="1" x14ac:dyDescent="0.25">
      <c r="B187" s="1">
        <f t="shared" si="8"/>
        <v>0</v>
      </c>
      <c r="C187" s="1" t="str">
        <f t="shared" si="10"/>
        <v>0</v>
      </c>
      <c r="D187" s="250">
        <f t="shared" si="9"/>
        <v>0</v>
      </c>
    </row>
    <row r="188" spans="2:4" ht="17.25" hidden="1" customHeight="1" x14ac:dyDescent="0.25">
      <c r="B188" s="1">
        <f t="shared" si="8"/>
        <v>0</v>
      </c>
      <c r="C188" s="1" t="str">
        <f t="shared" si="10"/>
        <v>0</v>
      </c>
      <c r="D188" s="250">
        <f t="shared" si="9"/>
        <v>0</v>
      </c>
    </row>
    <row r="189" spans="2:4" ht="17.25" hidden="1" customHeight="1" x14ac:dyDescent="0.25">
      <c r="B189" s="1">
        <f t="shared" si="8"/>
        <v>0</v>
      </c>
      <c r="C189" s="1" t="str">
        <f t="shared" si="10"/>
        <v>0</v>
      </c>
      <c r="D189" s="250">
        <f t="shared" si="9"/>
        <v>0</v>
      </c>
    </row>
    <row r="190" spans="2:4" ht="17.25" hidden="1" customHeight="1" x14ac:dyDescent="0.25">
      <c r="B190" s="1">
        <f t="shared" si="8"/>
        <v>0</v>
      </c>
      <c r="C190" s="1" t="str">
        <f t="shared" si="10"/>
        <v>0</v>
      </c>
      <c r="D190" s="250">
        <f t="shared" si="9"/>
        <v>0</v>
      </c>
    </row>
    <row r="191" spans="2:4" ht="17.25" hidden="1" customHeight="1" x14ac:dyDescent="0.25">
      <c r="B191" s="1">
        <f t="shared" si="8"/>
        <v>0</v>
      </c>
      <c r="C191" s="1" t="str">
        <f t="shared" si="10"/>
        <v>0</v>
      </c>
      <c r="D191" s="250">
        <f t="shared" si="9"/>
        <v>0</v>
      </c>
    </row>
    <row r="192" spans="2:4" ht="17.25" hidden="1" customHeight="1" x14ac:dyDescent="0.25">
      <c r="B192" s="1">
        <f t="shared" si="8"/>
        <v>0</v>
      </c>
      <c r="C192" s="1" t="str">
        <f t="shared" si="10"/>
        <v>0</v>
      </c>
      <c r="D192" s="250">
        <f t="shared" si="9"/>
        <v>0</v>
      </c>
    </row>
    <row r="193" spans="2:4" ht="17.25" hidden="1" customHeight="1" x14ac:dyDescent="0.25">
      <c r="B193" s="1">
        <f t="shared" si="8"/>
        <v>0</v>
      </c>
      <c r="C193" s="1" t="str">
        <f t="shared" si="10"/>
        <v>0</v>
      </c>
      <c r="D193" s="250">
        <f t="shared" si="9"/>
        <v>0</v>
      </c>
    </row>
    <row r="194" spans="2:4" ht="17.25" hidden="1" customHeight="1" x14ac:dyDescent="0.25">
      <c r="B194" s="1">
        <f t="shared" si="8"/>
        <v>0</v>
      </c>
      <c r="C194" s="1" t="str">
        <f t="shared" si="10"/>
        <v>0</v>
      </c>
      <c r="D194" s="250">
        <f t="shared" si="9"/>
        <v>0</v>
      </c>
    </row>
    <row r="195" spans="2:4" ht="17.25" hidden="1" customHeight="1" x14ac:dyDescent="0.25">
      <c r="B195" s="1">
        <f t="shared" si="8"/>
        <v>0</v>
      </c>
      <c r="C195" s="1" t="str">
        <f t="shared" si="10"/>
        <v>0</v>
      </c>
      <c r="D195" s="250">
        <f t="shared" si="9"/>
        <v>0</v>
      </c>
    </row>
    <row r="196" spans="2:4" ht="17.25" hidden="1" customHeight="1" x14ac:dyDescent="0.25">
      <c r="B196" s="1" t="str">
        <f>V3</f>
        <v>SALET William</v>
      </c>
      <c r="C196" s="1" t="str">
        <f t="shared" si="10"/>
        <v>Mag</v>
      </c>
      <c r="D196" s="250" t="str">
        <f>X3</f>
        <v>Magny</v>
      </c>
    </row>
    <row r="197" spans="2:4" ht="17.25" hidden="1" customHeight="1" x14ac:dyDescent="0.25">
      <c r="B197" s="1" t="str">
        <f t="shared" ref="B197:B233" si="11">V4</f>
        <v>GOUVERNEL Pierre</v>
      </c>
      <c r="C197" s="1" t="str">
        <f t="shared" si="10"/>
        <v>Flo</v>
      </c>
      <c r="D197" s="250" t="str">
        <f t="shared" ref="D197:D233" si="12">X4</f>
        <v>Florange</v>
      </c>
    </row>
    <row r="198" spans="2:4" ht="17.25" hidden="1" customHeight="1" x14ac:dyDescent="0.25">
      <c r="B198" s="1" t="str">
        <f t="shared" si="11"/>
        <v>MARCONI Dominique</v>
      </c>
      <c r="C198" s="1" t="str">
        <f t="shared" si="10"/>
        <v>Met</v>
      </c>
      <c r="D198" s="250" t="str">
        <f t="shared" si="12"/>
        <v>Metz</v>
      </c>
    </row>
    <row r="199" spans="2:4" ht="17.25" hidden="1" customHeight="1" x14ac:dyDescent="0.25">
      <c r="B199" s="1" t="str">
        <f t="shared" si="11"/>
        <v>MALVAREZ Jean</v>
      </c>
      <c r="C199" s="1" t="str">
        <f t="shared" si="10"/>
        <v>Hag</v>
      </c>
      <c r="D199" s="250" t="str">
        <f t="shared" si="12"/>
        <v>Hagondange</v>
      </c>
    </row>
    <row r="200" spans="2:4" ht="17.25" hidden="1" customHeight="1" x14ac:dyDescent="0.25">
      <c r="B200" s="1" t="str">
        <f t="shared" si="11"/>
        <v>LEGRAND Robert</v>
      </c>
      <c r="C200" s="1" t="str">
        <f t="shared" si="10"/>
        <v>Flo</v>
      </c>
      <c r="D200" s="250" t="str">
        <f t="shared" si="12"/>
        <v>Florange</v>
      </c>
    </row>
    <row r="201" spans="2:4" ht="17.25" hidden="1" customHeight="1" x14ac:dyDescent="0.25">
      <c r="B201" s="1" t="str">
        <f t="shared" si="11"/>
        <v>LENA Daniel</v>
      </c>
      <c r="C201" s="1" t="str">
        <f t="shared" si="10"/>
        <v>Flo</v>
      </c>
      <c r="D201" s="250" t="str">
        <f t="shared" si="12"/>
        <v>Florange</v>
      </c>
    </row>
    <row r="202" spans="2:4" ht="17.25" hidden="1" customHeight="1" x14ac:dyDescent="0.25">
      <c r="B202" s="1" t="str">
        <f t="shared" si="11"/>
        <v>RUZZON Bruno</v>
      </c>
      <c r="C202" s="1" t="str">
        <f t="shared" si="10"/>
        <v>Knu</v>
      </c>
      <c r="D202" s="250" t="str">
        <f t="shared" si="12"/>
        <v>Knutange</v>
      </c>
    </row>
    <row r="203" spans="2:4" ht="17.25" hidden="1" customHeight="1" x14ac:dyDescent="0.25">
      <c r="B203" s="1" t="str">
        <f t="shared" si="11"/>
        <v>HOEFFEL Pierre</v>
      </c>
      <c r="C203" s="1" t="str">
        <f t="shared" si="10"/>
        <v xml:space="preserve">St </v>
      </c>
      <c r="D203" s="250" t="str">
        <f t="shared" si="12"/>
        <v>St Avold</v>
      </c>
    </row>
    <row r="204" spans="2:4" ht="17.25" hidden="1" customHeight="1" x14ac:dyDescent="0.25">
      <c r="B204" s="1" t="str">
        <f t="shared" si="11"/>
        <v>RONCK Denis</v>
      </c>
      <c r="C204" s="1" t="str">
        <f t="shared" si="10"/>
        <v xml:space="preserve">St </v>
      </c>
      <c r="D204" s="250" t="str">
        <f t="shared" si="12"/>
        <v>St Avold</v>
      </c>
    </row>
    <row r="205" spans="2:4" ht="17.25" hidden="1" customHeight="1" x14ac:dyDescent="0.25">
      <c r="B205" s="1">
        <f t="shared" si="11"/>
        <v>0</v>
      </c>
      <c r="C205" s="1" t="str">
        <f t="shared" si="10"/>
        <v>0</v>
      </c>
      <c r="D205" s="250">
        <f t="shared" si="12"/>
        <v>0</v>
      </c>
    </row>
    <row r="206" spans="2:4" ht="17.25" hidden="1" customHeight="1" x14ac:dyDescent="0.25">
      <c r="B206" s="1">
        <f t="shared" si="11"/>
        <v>0</v>
      </c>
      <c r="C206" s="1" t="str">
        <f t="shared" si="10"/>
        <v>0</v>
      </c>
      <c r="D206" s="250">
        <f t="shared" si="12"/>
        <v>0</v>
      </c>
    </row>
    <row r="207" spans="2:4" ht="17.25" hidden="1" customHeight="1" x14ac:dyDescent="0.25">
      <c r="B207" s="1">
        <f t="shared" si="11"/>
        <v>0</v>
      </c>
      <c r="C207" s="1" t="str">
        <f t="shared" si="10"/>
        <v>0</v>
      </c>
      <c r="D207" s="250">
        <f t="shared" si="12"/>
        <v>0</v>
      </c>
    </row>
    <row r="208" spans="2:4" ht="17.25" hidden="1" customHeight="1" x14ac:dyDescent="0.25">
      <c r="B208" s="1">
        <f t="shared" si="11"/>
        <v>0</v>
      </c>
      <c r="C208" s="1" t="str">
        <f t="shared" si="10"/>
        <v>0</v>
      </c>
      <c r="D208" s="250">
        <f t="shared" si="12"/>
        <v>0</v>
      </c>
    </row>
    <row r="209" spans="2:4" ht="17.25" hidden="1" customHeight="1" x14ac:dyDescent="0.25">
      <c r="B209" s="1">
        <f t="shared" si="11"/>
        <v>0</v>
      </c>
      <c r="C209" s="1" t="str">
        <f t="shared" si="10"/>
        <v>0</v>
      </c>
      <c r="D209" s="250">
        <f t="shared" si="12"/>
        <v>0</v>
      </c>
    </row>
    <row r="210" spans="2:4" ht="17.25" hidden="1" customHeight="1" x14ac:dyDescent="0.25">
      <c r="B210" s="1">
        <f t="shared" si="11"/>
        <v>0</v>
      </c>
      <c r="C210" s="1" t="str">
        <f t="shared" si="10"/>
        <v>0</v>
      </c>
      <c r="D210" s="250">
        <f t="shared" si="12"/>
        <v>0</v>
      </c>
    </row>
    <row r="211" spans="2:4" ht="17.25" hidden="1" customHeight="1" x14ac:dyDescent="0.25">
      <c r="B211" s="1">
        <f t="shared" si="11"/>
        <v>0</v>
      </c>
      <c r="C211" s="1" t="str">
        <f t="shared" si="10"/>
        <v>0</v>
      </c>
      <c r="D211" s="250">
        <f t="shared" si="12"/>
        <v>0</v>
      </c>
    </row>
    <row r="212" spans="2:4" ht="17.25" hidden="1" customHeight="1" x14ac:dyDescent="0.25">
      <c r="B212" s="1">
        <f t="shared" si="11"/>
        <v>0</v>
      </c>
      <c r="C212" s="1" t="str">
        <f t="shared" si="10"/>
        <v>0</v>
      </c>
      <c r="D212" s="250">
        <f t="shared" si="12"/>
        <v>0</v>
      </c>
    </row>
    <row r="213" spans="2:4" ht="17.25" hidden="1" customHeight="1" x14ac:dyDescent="0.25">
      <c r="B213" s="1">
        <f t="shared" si="11"/>
        <v>0</v>
      </c>
      <c r="C213" s="1" t="str">
        <f t="shared" si="10"/>
        <v>0</v>
      </c>
      <c r="D213" s="250">
        <f t="shared" si="12"/>
        <v>0</v>
      </c>
    </row>
    <row r="214" spans="2:4" ht="17.25" hidden="1" customHeight="1" x14ac:dyDescent="0.25">
      <c r="B214" s="1">
        <f t="shared" si="11"/>
        <v>0</v>
      </c>
      <c r="C214" s="1" t="str">
        <f t="shared" si="10"/>
        <v>0</v>
      </c>
      <c r="D214" s="250">
        <f t="shared" si="12"/>
        <v>0</v>
      </c>
    </row>
    <row r="215" spans="2:4" ht="17.25" hidden="1" customHeight="1" x14ac:dyDescent="0.25">
      <c r="B215" s="1">
        <f t="shared" si="11"/>
        <v>0</v>
      </c>
      <c r="C215" s="1" t="str">
        <f t="shared" si="10"/>
        <v>0</v>
      </c>
      <c r="D215" s="250">
        <f t="shared" si="12"/>
        <v>0</v>
      </c>
    </row>
    <row r="216" spans="2:4" ht="17.25" hidden="1" customHeight="1" x14ac:dyDescent="0.25">
      <c r="B216" s="1">
        <f t="shared" si="11"/>
        <v>0</v>
      </c>
      <c r="C216" s="1" t="str">
        <f t="shared" si="10"/>
        <v>0</v>
      </c>
      <c r="D216" s="250">
        <f t="shared" si="12"/>
        <v>0</v>
      </c>
    </row>
    <row r="217" spans="2:4" ht="17.25" hidden="1" customHeight="1" x14ac:dyDescent="0.25">
      <c r="B217" s="1">
        <f t="shared" si="11"/>
        <v>0</v>
      </c>
      <c r="C217" s="1" t="str">
        <f t="shared" si="10"/>
        <v>0</v>
      </c>
      <c r="D217" s="250">
        <f t="shared" si="12"/>
        <v>0</v>
      </c>
    </row>
    <row r="218" spans="2:4" ht="17.25" hidden="1" customHeight="1" x14ac:dyDescent="0.25">
      <c r="B218" s="1">
        <f t="shared" si="11"/>
        <v>0</v>
      </c>
      <c r="C218" s="1" t="str">
        <f t="shared" si="10"/>
        <v>0</v>
      </c>
      <c r="D218" s="250">
        <f t="shared" si="12"/>
        <v>0</v>
      </c>
    </row>
    <row r="219" spans="2:4" ht="17.25" hidden="1" customHeight="1" x14ac:dyDescent="0.25">
      <c r="B219" s="1">
        <f t="shared" si="11"/>
        <v>0</v>
      </c>
      <c r="C219" s="1" t="str">
        <f t="shared" si="10"/>
        <v>0</v>
      </c>
      <c r="D219" s="250">
        <f t="shared" si="12"/>
        <v>0</v>
      </c>
    </row>
    <row r="220" spans="2:4" ht="17.25" hidden="1" customHeight="1" x14ac:dyDescent="0.25">
      <c r="B220" s="1">
        <f t="shared" si="11"/>
        <v>0</v>
      </c>
      <c r="C220" s="1" t="str">
        <f t="shared" si="10"/>
        <v>0</v>
      </c>
      <c r="D220" s="250">
        <f t="shared" si="12"/>
        <v>0</v>
      </c>
    </row>
    <row r="221" spans="2:4" ht="17.25" hidden="1" customHeight="1" x14ac:dyDescent="0.25">
      <c r="B221" s="1">
        <f t="shared" si="11"/>
        <v>0</v>
      </c>
      <c r="C221" s="1" t="str">
        <f t="shared" si="10"/>
        <v>0</v>
      </c>
      <c r="D221" s="250">
        <f t="shared" si="12"/>
        <v>0</v>
      </c>
    </row>
    <row r="222" spans="2:4" ht="17.25" hidden="1" customHeight="1" x14ac:dyDescent="0.25">
      <c r="B222" s="1">
        <f t="shared" si="11"/>
        <v>0</v>
      </c>
      <c r="C222" s="1" t="str">
        <f t="shared" si="10"/>
        <v>0</v>
      </c>
      <c r="D222" s="250">
        <f t="shared" si="12"/>
        <v>0</v>
      </c>
    </row>
    <row r="223" spans="2:4" ht="17.25" hidden="1" customHeight="1" x14ac:dyDescent="0.25">
      <c r="B223" s="1">
        <f t="shared" si="11"/>
        <v>0</v>
      </c>
      <c r="C223" s="1" t="str">
        <f t="shared" si="10"/>
        <v>0</v>
      </c>
      <c r="D223" s="250">
        <f t="shared" si="12"/>
        <v>0</v>
      </c>
    </row>
    <row r="224" spans="2:4" ht="17.25" hidden="1" customHeight="1" x14ac:dyDescent="0.25">
      <c r="B224" s="1">
        <f t="shared" si="11"/>
        <v>0</v>
      </c>
      <c r="C224" s="1" t="str">
        <f t="shared" si="10"/>
        <v>0</v>
      </c>
      <c r="D224" s="250">
        <f t="shared" si="12"/>
        <v>0</v>
      </c>
    </row>
    <row r="225" spans="2:4" ht="17.25" hidden="1" customHeight="1" x14ac:dyDescent="0.25">
      <c r="B225" s="1">
        <f t="shared" si="11"/>
        <v>0</v>
      </c>
      <c r="C225" s="1" t="str">
        <f t="shared" si="10"/>
        <v>0</v>
      </c>
      <c r="D225" s="250">
        <f t="shared" si="12"/>
        <v>0</v>
      </c>
    </row>
    <row r="226" spans="2:4" ht="17.25" hidden="1" customHeight="1" x14ac:dyDescent="0.25">
      <c r="B226" s="1">
        <f t="shared" si="11"/>
        <v>0</v>
      </c>
      <c r="C226" s="1" t="str">
        <f t="shared" si="10"/>
        <v>0</v>
      </c>
      <c r="D226" s="250">
        <f t="shared" si="12"/>
        <v>0</v>
      </c>
    </row>
    <row r="227" spans="2:4" ht="17.25" hidden="1" customHeight="1" x14ac:dyDescent="0.25">
      <c r="B227" s="1">
        <f t="shared" si="11"/>
        <v>0</v>
      </c>
      <c r="C227" s="1" t="str">
        <f t="shared" si="10"/>
        <v>0</v>
      </c>
      <c r="D227" s="250">
        <f t="shared" si="12"/>
        <v>0</v>
      </c>
    </row>
    <row r="228" spans="2:4" ht="17.25" hidden="1" customHeight="1" x14ac:dyDescent="0.25">
      <c r="B228" s="1">
        <f t="shared" si="11"/>
        <v>0</v>
      </c>
      <c r="C228" s="1" t="str">
        <f t="shared" si="10"/>
        <v>0</v>
      </c>
      <c r="D228" s="250">
        <f t="shared" si="12"/>
        <v>0</v>
      </c>
    </row>
    <row r="229" spans="2:4" ht="17.25" hidden="1" customHeight="1" x14ac:dyDescent="0.25">
      <c r="B229" s="1">
        <f t="shared" si="11"/>
        <v>0</v>
      </c>
      <c r="C229" s="1" t="str">
        <f t="shared" si="10"/>
        <v>0</v>
      </c>
      <c r="D229" s="250">
        <f t="shared" si="12"/>
        <v>0</v>
      </c>
    </row>
    <row r="230" spans="2:4" ht="17.25" hidden="1" customHeight="1" x14ac:dyDescent="0.25">
      <c r="B230" s="1">
        <f t="shared" si="11"/>
        <v>0</v>
      </c>
      <c r="C230" s="1" t="str">
        <f t="shared" si="10"/>
        <v>0</v>
      </c>
      <c r="D230" s="250">
        <f t="shared" si="12"/>
        <v>0</v>
      </c>
    </row>
    <row r="231" spans="2:4" ht="17.25" hidden="1" customHeight="1" x14ac:dyDescent="0.25">
      <c r="B231" s="1">
        <f t="shared" si="11"/>
        <v>0</v>
      </c>
      <c r="C231" s="1" t="str">
        <f t="shared" si="10"/>
        <v>0</v>
      </c>
      <c r="D231" s="250">
        <f t="shared" si="12"/>
        <v>0</v>
      </c>
    </row>
    <row r="232" spans="2:4" ht="17.25" hidden="1" customHeight="1" x14ac:dyDescent="0.25">
      <c r="B232" s="1">
        <f t="shared" si="11"/>
        <v>0</v>
      </c>
      <c r="C232" s="1" t="str">
        <f t="shared" si="10"/>
        <v>0</v>
      </c>
      <c r="D232" s="250">
        <f t="shared" si="12"/>
        <v>0</v>
      </c>
    </row>
    <row r="233" spans="2:4" ht="17.25" hidden="1" customHeight="1" x14ac:dyDescent="0.25">
      <c r="B233" s="1">
        <f t="shared" si="11"/>
        <v>0</v>
      </c>
      <c r="C233" s="1" t="str">
        <f t="shared" si="10"/>
        <v>0</v>
      </c>
      <c r="D233" s="250">
        <f t="shared" si="12"/>
        <v>0</v>
      </c>
    </row>
    <row r="234" spans="2:4" ht="17.25" hidden="1" customHeight="1" x14ac:dyDescent="0.25">
      <c r="B234" s="1" t="str">
        <f>AA3</f>
        <v>PARISOT Dominique</v>
      </c>
      <c r="C234" s="1" t="str">
        <f t="shared" si="10"/>
        <v xml:space="preserve">St </v>
      </c>
      <c r="D234" s="250" t="str">
        <f>AC3</f>
        <v>St Avold</v>
      </c>
    </row>
    <row r="235" spans="2:4" ht="17.25" hidden="1" customHeight="1" x14ac:dyDescent="0.25">
      <c r="B235" s="1" t="str">
        <f t="shared" ref="B235:B271" si="13">AA4</f>
        <v>SACRISTANI Albert</v>
      </c>
      <c r="C235" s="1" t="str">
        <f t="shared" si="10"/>
        <v>Mag</v>
      </c>
      <c r="D235" s="250" t="str">
        <f t="shared" ref="D235:D271" si="14">AC4</f>
        <v>Magny</v>
      </c>
    </row>
    <row r="236" spans="2:4" ht="17.25" hidden="1" customHeight="1" x14ac:dyDescent="0.25">
      <c r="B236" s="1" t="str">
        <f t="shared" si="13"/>
        <v>NEU Raymond</v>
      </c>
      <c r="C236" s="1" t="str">
        <f t="shared" si="10"/>
        <v>Sar</v>
      </c>
      <c r="D236" s="250" t="str">
        <f t="shared" si="14"/>
        <v>Sarreguemines</v>
      </c>
    </row>
    <row r="237" spans="2:4" ht="17.25" hidden="1" customHeight="1" x14ac:dyDescent="0.25">
      <c r="B237" s="1" t="str">
        <f t="shared" si="13"/>
        <v>POIROT Dominique</v>
      </c>
      <c r="C237" s="1" t="str">
        <f t="shared" ref="C237:C300" si="15">LEFT(D237,3)</f>
        <v>Hag</v>
      </c>
      <c r="D237" s="250" t="str">
        <f t="shared" si="14"/>
        <v>Hagondange</v>
      </c>
    </row>
    <row r="238" spans="2:4" ht="17.25" hidden="1" customHeight="1" x14ac:dyDescent="0.25">
      <c r="B238" s="1" t="str">
        <f t="shared" si="13"/>
        <v>CATTIN Gilles</v>
      </c>
      <c r="C238" s="1" t="str">
        <f t="shared" si="15"/>
        <v>Met</v>
      </c>
      <c r="D238" s="250" t="str">
        <f t="shared" si="14"/>
        <v>Metz</v>
      </c>
    </row>
    <row r="239" spans="2:4" ht="17.25" hidden="1" customHeight="1" x14ac:dyDescent="0.25">
      <c r="B239" s="1" t="str">
        <f t="shared" si="13"/>
        <v>VASCONCELOS Emmanuel</v>
      </c>
      <c r="C239" s="1" t="str">
        <f t="shared" si="15"/>
        <v>Met</v>
      </c>
      <c r="D239" s="250" t="str">
        <f t="shared" si="14"/>
        <v>Metz</v>
      </c>
    </row>
    <row r="240" spans="2:4" ht="17.25" hidden="1" customHeight="1" x14ac:dyDescent="0.25">
      <c r="B240" s="1" t="str">
        <f t="shared" si="13"/>
        <v>SCALISI Alfio</v>
      </c>
      <c r="C240" s="1" t="str">
        <f t="shared" si="15"/>
        <v>Met</v>
      </c>
      <c r="D240" s="250" t="str">
        <f t="shared" si="14"/>
        <v>Metz</v>
      </c>
    </row>
    <row r="241" spans="2:4" ht="17.25" hidden="1" customHeight="1" x14ac:dyDescent="0.25">
      <c r="B241" s="1" t="str">
        <f t="shared" si="13"/>
        <v>DE VREESE Pierre</v>
      </c>
      <c r="C241" s="1" t="str">
        <f t="shared" si="15"/>
        <v>Mag</v>
      </c>
      <c r="D241" s="250" t="str">
        <f t="shared" si="14"/>
        <v>Magny</v>
      </c>
    </row>
    <row r="242" spans="2:4" ht="17.25" hidden="1" customHeight="1" x14ac:dyDescent="0.25">
      <c r="B242" s="1" t="str">
        <f t="shared" si="13"/>
        <v>LEICHTNAM Hugues</v>
      </c>
      <c r="C242" s="1" t="str">
        <f t="shared" si="15"/>
        <v>Sar</v>
      </c>
      <c r="D242" s="250" t="str">
        <f t="shared" si="14"/>
        <v>Sarreguemines</v>
      </c>
    </row>
    <row r="243" spans="2:4" ht="17.25" hidden="1" customHeight="1" x14ac:dyDescent="0.25">
      <c r="B243" s="1" t="str">
        <f t="shared" si="13"/>
        <v>DEFLORAINE Daphné</v>
      </c>
      <c r="C243" s="1" t="str">
        <f t="shared" si="15"/>
        <v xml:space="preserve">le </v>
      </c>
      <c r="D243" s="250" t="str">
        <f t="shared" si="14"/>
        <v>le Ban St. Martin</v>
      </c>
    </row>
    <row r="244" spans="2:4" ht="17.25" hidden="1" customHeight="1" x14ac:dyDescent="0.25">
      <c r="B244" s="1" t="str">
        <f t="shared" si="13"/>
        <v>FEDERICI Jean</v>
      </c>
      <c r="C244" s="1" t="str">
        <f t="shared" si="15"/>
        <v xml:space="preserve">le </v>
      </c>
      <c r="D244" s="250" t="str">
        <f t="shared" si="14"/>
        <v>le Ban St. Martin</v>
      </c>
    </row>
    <row r="245" spans="2:4" ht="17.25" hidden="1" customHeight="1" x14ac:dyDescent="0.25">
      <c r="B245" s="1" t="str">
        <f t="shared" si="13"/>
        <v>STAMM Jean</v>
      </c>
      <c r="C245" s="1" t="str">
        <f t="shared" si="15"/>
        <v>Met</v>
      </c>
      <c r="D245" s="250" t="str">
        <f t="shared" si="14"/>
        <v>Metz</v>
      </c>
    </row>
    <row r="246" spans="2:4" ht="17.25" hidden="1" customHeight="1" x14ac:dyDescent="0.25">
      <c r="B246" s="1" t="str">
        <f t="shared" si="13"/>
        <v>CAQUET Michel</v>
      </c>
      <c r="C246" s="1" t="str">
        <f t="shared" si="15"/>
        <v>Cou</v>
      </c>
      <c r="D246" s="250" t="str">
        <f t="shared" si="14"/>
        <v>Courcelles/Nied</v>
      </c>
    </row>
    <row r="247" spans="2:4" ht="17.25" hidden="1" customHeight="1" x14ac:dyDescent="0.25">
      <c r="B247" s="1" t="str">
        <f t="shared" si="13"/>
        <v>EYNIUS Pascal</v>
      </c>
      <c r="C247" s="1" t="str">
        <f t="shared" si="15"/>
        <v>Pet</v>
      </c>
      <c r="D247" s="250" t="str">
        <f t="shared" si="14"/>
        <v>Petite Rosselle</v>
      </c>
    </row>
    <row r="248" spans="2:4" ht="17.25" hidden="1" customHeight="1" x14ac:dyDescent="0.25">
      <c r="B248" s="1" t="str">
        <f t="shared" si="13"/>
        <v>RAULET Jérôme</v>
      </c>
      <c r="C248" s="1" t="str">
        <f t="shared" si="15"/>
        <v>Mag</v>
      </c>
      <c r="D248" s="250" t="str">
        <f t="shared" si="14"/>
        <v>Magny</v>
      </c>
    </row>
    <row r="249" spans="2:4" ht="17.25" hidden="1" customHeight="1" x14ac:dyDescent="0.25">
      <c r="B249" s="1">
        <f t="shared" si="13"/>
        <v>0</v>
      </c>
      <c r="C249" s="1" t="str">
        <f t="shared" si="15"/>
        <v>0</v>
      </c>
      <c r="D249" s="250">
        <f t="shared" si="14"/>
        <v>0</v>
      </c>
    </row>
    <row r="250" spans="2:4" ht="17.25" hidden="1" customHeight="1" x14ac:dyDescent="0.25">
      <c r="B250" s="1">
        <f t="shared" si="13"/>
        <v>0</v>
      </c>
      <c r="C250" s="1" t="str">
        <f t="shared" si="15"/>
        <v>0</v>
      </c>
      <c r="D250" s="250">
        <f t="shared" si="14"/>
        <v>0</v>
      </c>
    </row>
    <row r="251" spans="2:4" ht="17.25" hidden="1" customHeight="1" x14ac:dyDescent="0.25">
      <c r="B251" s="1">
        <f t="shared" si="13"/>
        <v>0</v>
      </c>
      <c r="C251" s="1" t="str">
        <f t="shared" si="15"/>
        <v>0</v>
      </c>
      <c r="D251" s="250">
        <f t="shared" si="14"/>
        <v>0</v>
      </c>
    </row>
    <row r="252" spans="2:4" ht="17.25" hidden="1" customHeight="1" x14ac:dyDescent="0.25">
      <c r="B252" s="1">
        <f t="shared" si="13"/>
        <v>0</v>
      </c>
      <c r="C252" s="1" t="str">
        <f t="shared" si="15"/>
        <v>0</v>
      </c>
      <c r="D252" s="250">
        <f t="shared" si="14"/>
        <v>0</v>
      </c>
    </row>
    <row r="253" spans="2:4" ht="17.25" hidden="1" customHeight="1" x14ac:dyDescent="0.25">
      <c r="B253" s="1">
        <f t="shared" si="13"/>
        <v>0</v>
      </c>
      <c r="C253" s="1" t="str">
        <f t="shared" si="15"/>
        <v>0</v>
      </c>
      <c r="D253" s="250">
        <f t="shared" si="14"/>
        <v>0</v>
      </c>
    </row>
    <row r="254" spans="2:4" ht="17.25" hidden="1" customHeight="1" x14ac:dyDescent="0.25">
      <c r="B254" s="1">
        <f t="shared" si="13"/>
        <v>0</v>
      </c>
      <c r="C254" s="1" t="str">
        <f t="shared" si="15"/>
        <v>0</v>
      </c>
      <c r="D254" s="250">
        <f t="shared" si="14"/>
        <v>0</v>
      </c>
    </row>
    <row r="255" spans="2:4" ht="17.25" hidden="1" customHeight="1" x14ac:dyDescent="0.25">
      <c r="B255" s="1">
        <f t="shared" si="13"/>
        <v>0</v>
      </c>
      <c r="C255" s="1" t="str">
        <f t="shared" si="15"/>
        <v>0</v>
      </c>
      <c r="D255" s="250">
        <f t="shared" si="14"/>
        <v>0</v>
      </c>
    </row>
    <row r="256" spans="2:4" ht="17.25" hidden="1" customHeight="1" x14ac:dyDescent="0.25">
      <c r="B256" s="1">
        <f t="shared" si="13"/>
        <v>0</v>
      </c>
      <c r="C256" s="1" t="str">
        <f t="shared" si="15"/>
        <v>0</v>
      </c>
      <c r="D256" s="250">
        <f t="shared" si="14"/>
        <v>0</v>
      </c>
    </row>
    <row r="257" spans="2:4" ht="17.25" hidden="1" customHeight="1" x14ac:dyDescent="0.25">
      <c r="B257" s="1">
        <f t="shared" si="13"/>
        <v>0</v>
      </c>
      <c r="C257" s="1" t="str">
        <f t="shared" si="15"/>
        <v>0</v>
      </c>
      <c r="D257" s="250">
        <f t="shared" si="14"/>
        <v>0</v>
      </c>
    </row>
    <row r="258" spans="2:4" ht="17.25" hidden="1" customHeight="1" x14ac:dyDescent="0.25">
      <c r="B258" s="1">
        <f t="shared" si="13"/>
        <v>0</v>
      </c>
      <c r="C258" s="1" t="str">
        <f t="shared" si="15"/>
        <v>0</v>
      </c>
      <c r="D258" s="250">
        <f t="shared" si="14"/>
        <v>0</v>
      </c>
    </row>
    <row r="259" spans="2:4" ht="17.25" hidden="1" customHeight="1" x14ac:dyDescent="0.25">
      <c r="B259" s="1">
        <f t="shared" si="13"/>
        <v>0</v>
      </c>
      <c r="C259" s="1" t="str">
        <f t="shared" si="15"/>
        <v>0</v>
      </c>
      <c r="D259" s="250">
        <f t="shared" si="14"/>
        <v>0</v>
      </c>
    </row>
    <row r="260" spans="2:4" ht="17.25" hidden="1" customHeight="1" x14ac:dyDescent="0.25">
      <c r="B260" s="1">
        <f t="shared" si="13"/>
        <v>0</v>
      </c>
      <c r="C260" s="1" t="str">
        <f t="shared" si="15"/>
        <v>0</v>
      </c>
      <c r="D260" s="250">
        <f t="shared" si="14"/>
        <v>0</v>
      </c>
    </row>
    <row r="261" spans="2:4" ht="17.25" hidden="1" customHeight="1" x14ac:dyDescent="0.25">
      <c r="B261" s="1">
        <f t="shared" si="13"/>
        <v>0</v>
      </c>
      <c r="C261" s="1" t="str">
        <f t="shared" si="15"/>
        <v>0</v>
      </c>
      <c r="D261" s="250">
        <f t="shared" si="14"/>
        <v>0</v>
      </c>
    </row>
    <row r="262" spans="2:4" ht="17.25" hidden="1" customHeight="1" x14ac:dyDescent="0.25">
      <c r="B262" s="1">
        <f t="shared" si="13"/>
        <v>0</v>
      </c>
      <c r="C262" s="1" t="str">
        <f t="shared" si="15"/>
        <v>0</v>
      </c>
      <c r="D262" s="250">
        <f t="shared" si="14"/>
        <v>0</v>
      </c>
    </row>
    <row r="263" spans="2:4" ht="17.25" hidden="1" customHeight="1" x14ac:dyDescent="0.25">
      <c r="B263" s="1">
        <f t="shared" si="13"/>
        <v>0</v>
      </c>
      <c r="C263" s="1" t="str">
        <f t="shared" si="15"/>
        <v>0</v>
      </c>
      <c r="D263" s="250">
        <f t="shared" si="14"/>
        <v>0</v>
      </c>
    </row>
    <row r="264" spans="2:4" ht="17.25" hidden="1" customHeight="1" x14ac:dyDescent="0.25">
      <c r="B264" s="1">
        <f t="shared" si="13"/>
        <v>0</v>
      </c>
      <c r="C264" s="1" t="str">
        <f t="shared" si="15"/>
        <v>0</v>
      </c>
      <c r="D264" s="250">
        <f t="shared" si="14"/>
        <v>0</v>
      </c>
    </row>
    <row r="265" spans="2:4" ht="17.25" hidden="1" customHeight="1" x14ac:dyDescent="0.25">
      <c r="B265" s="1">
        <f t="shared" si="13"/>
        <v>0</v>
      </c>
      <c r="C265" s="1" t="str">
        <f t="shared" si="15"/>
        <v>0</v>
      </c>
      <c r="D265" s="250">
        <f t="shared" si="14"/>
        <v>0</v>
      </c>
    </row>
    <row r="266" spans="2:4" ht="17.25" hidden="1" customHeight="1" x14ac:dyDescent="0.25">
      <c r="B266" s="1">
        <f t="shared" si="13"/>
        <v>0</v>
      </c>
      <c r="C266" s="1" t="str">
        <f t="shared" si="15"/>
        <v>0</v>
      </c>
      <c r="D266" s="250">
        <f t="shared" si="14"/>
        <v>0</v>
      </c>
    </row>
    <row r="267" spans="2:4" ht="17.25" hidden="1" customHeight="1" x14ac:dyDescent="0.25">
      <c r="B267" s="1">
        <f t="shared" si="13"/>
        <v>0</v>
      </c>
      <c r="C267" s="1" t="str">
        <f t="shared" si="15"/>
        <v>0</v>
      </c>
      <c r="D267" s="250">
        <f t="shared" si="14"/>
        <v>0</v>
      </c>
    </row>
    <row r="268" spans="2:4" ht="17.25" hidden="1" customHeight="1" x14ac:dyDescent="0.25">
      <c r="B268" s="1">
        <f t="shared" si="13"/>
        <v>0</v>
      </c>
      <c r="C268" s="1" t="str">
        <f t="shared" si="15"/>
        <v>0</v>
      </c>
      <c r="D268" s="250">
        <f t="shared" si="14"/>
        <v>0</v>
      </c>
    </row>
    <row r="269" spans="2:4" ht="17.25" hidden="1" customHeight="1" x14ac:dyDescent="0.25">
      <c r="B269" s="1">
        <f t="shared" si="13"/>
        <v>0</v>
      </c>
      <c r="C269" s="1" t="str">
        <f t="shared" si="15"/>
        <v>0</v>
      </c>
      <c r="D269" s="250">
        <f t="shared" si="14"/>
        <v>0</v>
      </c>
    </row>
    <row r="270" spans="2:4" ht="17.25" hidden="1" customHeight="1" x14ac:dyDescent="0.25">
      <c r="B270" s="1">
        <f t="shared" si="13"/>
        <v>0</v>
      </c>
      <c r="C270" s="1" t="str">
        <f t="shared" si="15"/>
        <v>0</v>
      </c>
      <c r="D270" s="250">
        <f t="shared" si="14"/>
        <v>0</v>
      </c>
    </row>
    <row r="271" spans="2:4" ht="17.25" hidden="1" customHeight="1" x14ac:dyDescent="0.25">
      <c r="B271" s="1">
        <f t="shared" si="13"/>
        <v>0</v>
      </c>
      <c r="C271" s="1" t="str">
        <f t="shared" si="15"/>
        <v>0</v>
      </c>
      <c r="D271" s="250">
        <f t="shared" si="14"/>
        <v>0</v>
      </c>
    </row>
    <row r="272" spans="2:4" ht="17.25" hidden="1" customHeight="1" x14ac:dyDescent="0.25">
      <c r="B272" s="1" t="str">
        <f>AF3</f>
        <v>SPRUNCK Laurent</v>
      </c>
      <c r="C272" s="1" t="str">
        <f t="shared" si="15"/>
        <v>Sar</v>
      </c>
      <c r="D272" s="250" t="str">
        <f>AH3</f>
        <v>Sarreguemines</v>
      </c>
    </row>
    <row r="273" spans="2:4" ht="17.25" hidden="1" customHeight="1" x14ac:dyDescent="0.25">
      <c r="B273" s="1">
        <f t="shared" ref="B273:B309" si="16">AF4</f>
        <v>0</v>
      </c>
      <c r="C273" s="1" t="str">
        <f t="shared" si="15"/>
        <v>0</v>
      </c>
      <c r="D273" s="250">
        <f t="shared" ref="D273:D309" si="17">AH4</f>
        <v>0</v>
      </c>
    </row>
    <row r="274" spans="2:4" ht="17.25" hidden="1" customHeight="1" x14ac:dyDescent="0.25">
      <c r="B274" s="1">
        <f t="shared" si="16"/>
        <v>0</v>
      </c>
      <c r="C274" s="1" t="str">
        <f t="shared" si="15"/>
        <v>0</v>
      </c>
      <c r="D274" s="250">
        <f t="shared" si="17"/>
        <v>0</v>
      </c>
    </row>
    <row r="275" spans="2:4" ht="17.25" hidden="1" customHeight="1" x14ac:dyDescent="0.25">
      <c r="B275" s="1">
        <f t="shared" si="16"/>
        <v>0</v>
      </c>
      <c r="C275" s="1" t="str">
        <f t="shared" si="15"/>
        <v>0</v>
      </c>
      <c r="D275" s="250">
        <f t="shared" si="17"/>
        <v>0</v>
      </c>
    </row>
    <row r="276" spans="2:4" ht="17.25" hidden="1" customHeight="1" x14ac:dyDescent="0.25">
      <c r="B276" s="1">
        <f t="shared" si="16"/>
        <v>0</v>
      </c>
      <c r="C276" s="1" t="str">
        <f t="shared" si="15"/>
        <v>0</v>
      </c>
      <c r="D276" s="250">
        <f t="shared" si="17"/>
        <v>0</v>
      </c>
    </row>
    <row r="277" spans="2:4" ht="17.25" hidden="1" customHeight="1" x14ac:dyDescent="0.25">
      <c r="B277" s="1">
        <f t="shared" si="16"/>
        <v>0</v>
      </c>
      <c r="C277" s="1" t="str">
        <f t="shared" si="15"/>
        <v>0</v>
      </c>
      <c r="D277" s="250">
        <f t="shared" si="17"/>
        <v>0</v>
      </c>
    </row>
    <row r="278" spans="2:4" ht="17.25" hidden="1" customHeight="1" x14ac:dyDescent="0.25">
      <c r="B278" s="1">
        <f t="shared" si="16"/>
        <v>0</v>
      </c>
      <c r="C278" s="1" t="str">
        <f t="shared" si="15"/>
        <v>0</v>
      </c>
      <c r="D278" s="250">
        <f t="shared" si="17"/>
        <v>0</v>
      </c>
    </row>
    <row r="279" spans="2:4" ht="17.25" hidden="1" customHeight="1" x14ac:dyDescent="0.25">
      <c r="B279" s="1">
        <f t="shared" si="16"/>
        <v>0</v>
      </c>
      <c r="C279" s="1" t="str">
        <f t="shared" si="15"/>
        <v>0</v>
      </c>
      <c r="D279" s="250">
        <f t="shared" si="17"/>
        <v>0</v>
      </c>
    </row>
    <row r="280" spans="2:4" ht="17.25" hidden="1" customHeight="1" x14ac:dyDescent="0.25">
      <c r="B280" s="1">
        <f t="shared" si="16"/>
        <v>0</v>
      </c>
      <c r="C280" s="1" t="str">
        <f t="shared" si="15"/>
        <v>0</v>
      </c>
      <c r="D280" s="250">
        <f t="shared" si="17"/>
        <v>0</v>
      </c>
    </row>
    <row r="281" spans="2:4" ht="17.25" hidden="1" customHeight="1" x14ac:dyDescent="0.25">
      <c r="B281" s="1">
        <f t="shared" si="16"/>
        <v>0</v>
      </c>
      <c r="C281" s="1" t="str">
        <f t="shared" si="15"/>
        <v>0</v>
      </c>
      <c r="D281" s="250">
        <f t="shared" si="17"/>
        <v>0</v>
      </c>
    </row>
    <row r="282" spans="2:4" ht="17.25" hidden="1" customHeight="1" x14ac:dyDescent="0.25">
      <c r="B282" s="1">
        <f t="shared" si="16"/>
        <v>0</v>
      </c>
      <c r="C282" s="1" t="str">
        <f t="shared" si="15"/>
        <v>0</v>
      </c>
      <c r="D282" s="250">
        <f t="shared" si="17"/>
        <v>0</v>
      </c>
    </row>
    <row r="283" spans="2:4" ht="17.25" hidden="1" customHeight="1" x14ac:dyDescent="0.25">
      <c r="B283" s="1">
        <f t="shared" si="16"/>
        <v>0</v>
      </c>
      <c r="C283" s="1" t="str">
        <f t="shared" si="15"/>
        <v>0</v>
      </c>
      <c r="D283" s="250">
        <f t="shared" si="17"/>
        <v>0</v>
      </c>
    </row>
    <row r="284" spans="2:4" ht="17.25" hidden="1" customHeight="1" x14ac:dyDescent="0.25">
      <c r="B284" s="1">
        <f t="shared" si="16"/>
        <v>0</v>
      </c>
      <c r="C284" s="1" t="str">
        <f t="shared" si="15"/>
        <v>0</v>
      </c>
      <c r="D284" s="250">
        <f t="shared" si="17"/>
        <v>0</v>
      </c>
    </row>
    <row r="285" spans="2:4" ht="17.25" hidden="1" customHeight="1" x14ac:dyDescent="0.25">
      <c r="B285" s="1">
        <f t="shared" si="16"/>
        <v>0</v>
      </c>
      <c r="C285" s="1" t="str">
        <f t="shared" si="15"/>
        <v>0</v>
      </c>
      <c r="D285" s="250">
        <f t="shared" si="17"/>
        <v>0</v>
      </c>
    </row>
    <row r="286" spans="2:4" ht="17.25" hidden="1" customHeight="1" x14ac:dyDescent="0.25">
      <c r="B286" s="1">
        <f t="shared" si="16"/>
        <v>0</v>
      </c>
      <c r="C286" s="1" t="str">
        <f t="shared" si="15"/>
        <v>0</v>
      </c>
      <c r="D286" s="250">
        <f t="shared" si="17"/>
        <v>0</v>
      </c>
    </row>
    <row r="287" spans="2:4" ht="17.25" hidden="1" customHeight="1" x14ac:dyDescent="0.25">
      <c r="B287" s="1">
        <f t="shared" si="16"/>
        <v>0</v>
      </c>
      <c r="C287" s="1" t="str">
        <f t="shared" si="15"/>
        <v>0</v>
      </c>
      <c r="D287" s="250">
        <f t="shared" si="17"/>
        <v>0</v>
      </c>
    </row>
    <row r="288" spans="2:4" ht="17.25" hidden="1" customHeight="1" x14ac:dyDescent="0.25">
      <c r="B288" s="1">
        <f t="shared" si="16"/>
        <v>0</v>
      </c>
      <c r="C288" s="1" t="str">
        <f t="shared" si="15"/>
        <v>0</v>
      </c>
      <c r="D288" s="250">
        <f t="shared" si="17"/>
        <v>0</v>
      </c>
    </row>
    <row r="289" spans="2:4" ht="17.25" hidden="1" customHeight="1" x14ac:dyDescent="0.25">
      <c r="B289" s="1">
        <f t="shared" si="16"/>
        <v>0</v>
      </c>
      <c r="C289" s="1" t="str">
        <f t="shared" si="15"/>
        <v>0</v>
      </c>
      <c r="D289" s="250">
        <f t="shared" si="17"/>
        <v>0</v>
      </c>
    </row>
    <row r="290" spans="2:4" ht="17.25" hidden="1" customHeight="1" x14ac:dyDescent="0.25">
      <c r="B290" s="1">
        <f t="shared" si="16"/>
        <v>0</v>
      </c>
      <c r="C290" s="1" t="str">
        <f t="shared" si="15"/>
        <v>0</v>
      </c>
      <c r="D290" s="250">
        <f t="shared" si="17"/>
        <v>0</v>
      </c>
    </row>
    <row r="291" spans="2:4" ht="17.25" hidden="1" customHeight="1" x14ac:dyDescent="0.25">
      <c r="B291" s="1">
        <f t="shared" si="16"/>
        <v>0</v>
      </c>
      <c r="C291" s="1" t="str">
        <f t="shared" si="15"/>
        <v>0</v>
      </c>
      <c r="D291" s="250">
        <f t="shared" si="17"/>
        <v>0</v>
      </c>
    </row>
    <row r="292" spans="2:4" ht="17.25" hidden="1" customHeight="1" x14ac:dyDescent="0.25">
      <c r="B292" s="1">
        <f t="shared" si="16"/>
        <v>0</v>
      </c>
      <c r="C292" s="1" t="str">
        <f t="shared" si="15"/>
        <v>0</v>
      </c>
      <c r="D292" s="250">
        <f t="shared" si="17"/>
        <v>0</v>
      </c>
    </row>
    <row r="293" spans="2:4" ht="17.25" hidden="1" customHeight="1" x14ac:dyDescent="0.25">
      <c r="B293" s="1">
        <f t="shared" si="16"/>
        <v>0</v>
      </c>
      <c r="C293" s="1" t="str">
        <f t="shared" si="15"/>
        <v>0</v>
      </c>
      <c r="D293" s="250">
        <f t="shared" si="17"/>
        <v>0</v>
      </c>
    </row>
    <row r="294" spans="2:4" ht="17.25" hidden="1" customHeight="1" x14ac:dyDescent="0.25">
      <c r="B294" s="1">
        <f t="shared" si="16"/>
        <v>0</v>
      </c>
      <c r="C294" s="1" t="str">
        <f t="shared" si="15"/>
        <v>0</v>
      </c>
      <c r="D294" s="250">
        <f t="shared" si="17"/>
        <v>0</v>
      </c>
    </row>
    <row r="295" spans="2:4" ht="17.25" hidden="1" customHeight="1" x14ac:dyDescent="0.25">
      <c r="B295" s="1">
        <f t="shared" si="16"/>
        <v>0</v>
      </c>
      <c r="C295" s="1" t="str">
        <f t="shared" si="15"/>
        <v>0</v>
      </c>
      <c r="D295" s="250">
        <f t="shared" si="17"/>
        <v>0</v>
      </c>
    </row>
    <row r="296" spans="2:4" ht="17.25" hidden="1" customHeight="1" x14ac:dyDescent="0.25">
      <c r="B296" s="1">
        <f t="shared" si="16"/>
        <v>0</v>
      </c>
      <c r="C296" s="1" t="str">
        <f t="shared" si="15"/>
        <v>0</v>
      </c>
      <c r="D296" s="250">
        <f t="shared" si="17"/>
        <v>0</v>
      </c>
    </row>
    <row r="297" spans="2:4" ht="17.25" hidden="1" customHeight="1" x14ac:dyDescent="0.25">
      <c r="B297" s="1">
        <f t="shared" si="16"/>
        <v>0</v>
      </c>
      <c r="C297" s="1" t="str">
        <f t="shared" si="15"/>
        <v>0</v>
      </c>
      <c r="D297" s="250">
        <f t="shared" si="17"/>
        <v>0</v>
      </c>
    </row>
    <row r="298" spans="2:4" ht="17.25" hidden="1" customHeight="1" x14ac:dyDescent="0.25">
      <c r="B298" s="1">
        <f t="shared" si="16"/>
        <v>0</v>
      </c>
      <c r="C298" s="1" t="str">
        <f t="shared" si="15"/>
        <v>0</v>
      </c>
      <c r="D298" s="250">
        <f t="shared" si="17"/>
        <v>0</v>
      </c>
    </row>
    <row r="299" spans="2:4" ht="17.25" hidden="1" customHeight="1" x14ac:dyDescent="0.25">
      <c r="B299" s="1">
        <f t="shared" si="16"/>
        <v>0</v>
      </c>
      <c r="C299" s="1" t="str">
        <f t="shared" si="15"/>
        <v>0</v>
      </c>
      <c r="D299" s="250">
        <f t="shared" si="17"/>
        <v>0</v>
      </c>
    </row>
    <row r="300" spans="2:4" ht="17.25" hidden="1" customHeight="1" x14ac:dyDescent="0.25">
      <c r="B300" s="1">
        <f t="shared" si="16"/>
        <v>0</v>
      </c>
      <c r="C300" s="1" t="str">
        <f t="shared" si="15"/>
        <v>0</v>
      </c>
      <c r="D300" s="250">
        <f t="shared" si="17"/>
        <v>0</v>
      </c>
    </row>
    <row r="301" spans="2:4" ht="17.25" hidden="1" customHeight="1" x14ac:dyDescent="0.25">
      <c r="B301" s="1">
        <f t="shared" si="16"/>
        <v>0</v>
      </c>
      <c r="C301" s="1" t="str">
        <f t="shared" ref="C301:C364" si="18">LEFT(D301,3)</f>
        <v>0</v>
      </c>
      <c r="D301" s="250">
        <f t="shared" si="17"/>
        <v>0</v>
      </c>
    </row>
    <row r="302" spans="2:4" ht="17.25" hidden="1" customHeight="1" x14ac:dyDescent="0.25">
      <c r="B302" s="1">
        <f t="shared" si="16"/>
        <v>0</v>
      </c>
      <c r="C302" s="1" t="str">
        <f t="shared" si="18"/>
        <v>0</v>
      </c>
      <c r="D302" s="250">
        <f t="shared" si="17"/>
        <v>0</v>
      </c>
    </row>
    <row r="303" spans="2:4" ht="17.25" hidden="1" customHeight="1" x14ac:dyDescent="0.25">
      <c r="B303" s="1">
        <f t="shared" si="16"/>
        <v>0</v>
      </c>
      <c r="C303" s="1" t="str">
        <f t="shared" si="18"/>
        <v>0</v>
      </c>
      <c r="D303" s="250">
        <f t="shared" si="17"/>
        <v>0</v>
      </c>
    </row>
    <row r="304" spans="2:4" ht="17.25" hidden="1" customHeight="1" x14ac:dyDescent="0.25">
      <c r="B304" s="1">
        <f t="shared" si="16"/>
        <v>0</v>
      </c>
      <c r="C304" s="1" t="str">
        <f t="shared" si="18"/>
        <v>0</v>
      </c>
      <c r="D304" s="250">
        <f t="shared" si="17"/>
        <v>0</v>
      </c>
    </row>
    <row r="305" spans="2:4" ht="17.25" hidden="1" customHeight="1" x14ac:dyDescent="0.25">
      <c r="B305" s="1">
        <f t="shared" si="16"/>
        <v>0</v>
      </c>
      <c r="C305" s="1" t="str">
        <f t="shared" si="18"/>
        <v>0</v>
      </c>
      <c r="D305" s="250">
        <f t="shared" si="17"/>
        <v>0</v>
      </c>
    </row>
    <row r="306" spans="2:4" ht="17.25" hidden="1" customHeight="1" x14ac:dyDescent="0.25">
      <c r="B306" s="1">
        <f t="shared" si="16"/>
        <v>0</v>
      </c>
      <c r="C306" s="1" t="str">
        <f t="shared" si="18"/>
        <v>0</v>
      </c>
      <c r="D306" s="250">
        <f t="shared" si="17"/>
        <v>0</v>
      </c>
    </row>
    <row r="307" spans="2:4" ht="17.25" hidden="1" customHeight="1" x14ac:dyDescent="0.25">
      <c r="B307" s="1">
        <f t="shared" si="16"/>
        <v>0</v>
      </c>
      <c r="C307" s="1" t="str">
        <f t="shared" si="18"/>
        <v>0</v>
      </c>
      <c r="D307" s="250">
        <f t="shared" si="17"/>
        <v>0</v>
      </c>
    </row>
    <row r="308" spans="2:4" ht="17.25" hidden="1" customHeight="1" x14ac:dyDescent="0.25">
      <c r="B308" s="1">
        <f t="shared" si="16"/>
        <v>0</v>
      </c>
      <c r="C308" s="1" t="str">
        <f t="shared" si="18"/>
        <v>0</v>
      </c>
      <c r="D308" s="250">
        <f t="shared" si="17"/>
        <v>0</v>
      </c>
    </row>
    <row r="309" spans="2:4" ht="17.25" hidden="1" customHeight="1" x14ac:dyDescent="0.25">
      <c r="B309" s="1">
        <f t="shared" si="16"/>
        <v>0</v>
      </c>
      <c r="C309" s="1" t="str">
        <f t="shared" si="18"/>
        <v>0</v>
      </c>
      <c r="D309" s="250">
        <f t="shared" si="17"/>
        <v>0</v>
      </c>
    </row>
    <row r="310" spans="2:4" ht="17.25" hidden="1" customHeight="1" x14ac:dyDescent="0.25">
      <c r="B310" s="1">
        <f>AK3</f>
        <v>0</v>
      </c>
      <c r="C310" s="1" t="str">
        <f t="shared" si="18"/>
        <v>0</v>
      </c>
      <c r="D310" s="250">
        <f>AM3</f>
        <v>0</v>
      </c>
    </row>
    <row r="311" spans="2:4" ht="17.25" hidden="1" customHeight="1" x14ac:dyDescent="0.25">
      <c r="B311" s="1">
        <f t="shared" ref="B311:B347" si="19">AK4</f>
        <v>0</v>
      </c>
      <c r="C311" s="1" t="str">
        <f t="shared" si="18"/>
        <v>0</v>
      </c>
      <c r="D311" s="250">
        <f t="shared" ref="D311:D347" si="20">AM4</f>
        <v>0</v>
      </c>
    </row>
    <row r="312" spans="2:4" ht="17.25" hidden="1" customHeight="1" x14ac:dyDescent="0.25">
      <c r="B312" s="1">
        <f t="shared" si="19"/>
        <v>0</v>
      </c>
      <c r="C312" s="1" t="str">
        <f t="shared" si="18"/>
        <v>0</v>
      </c>
      <c r="D312" s="250">
        <f t="shared" si="20"/>
        <v>0</v>
      </c>
    </row>
    <row r="313" spans="2:4" ht="17.25" hidden="1" customHeight="1" x14ac:dyDescent="0.25">
      <c r="B313" s="1">
        <f t="shared" si="19"/>
        <v>0</v>
      </c>
      <c r="C313" s="1" t="str">
        <f t="shared" si="18"/>
        <v>0</v>
      </c>
      <c r="D313" s="250">
        <f t="shared" si="20"/>
        <v>0</v>
      </c>
    </row>
    <row r="314" spans="2:4" ht="17.25" hidden="1" customHeight="1" x14ac:dyDescent="0.25">
      <c r="B314" s="1">
        <f t="shared" si="19"/>
        <v>0</v>
      </c>
      <c r="C314" s="1" t="str">
        <f t="shared" si="18"/>
        <v>0</v>
      </c>
      <c r="D314" s="250">
        <f t="shared" si="20"/>
        <v>0</v>
      </c>
    </row>
    <row r="315" spans="2:4" ht="17.25" hidden="1" customHeight="1" x14ac:dyDescent="0.25">
      <c r="B315" s="1">
        <f t="shared" si="19"/>
        <v>0</v>
      </c>
      <c r="C315" s="1" t="str">
        <f t="shared" si="18"/>
        <v>0</v>
      </c>
      <c r="D315" s="250">
        <f t="shared" si="20"/>
        <v>0</v>
      </c>
    </row>
    <row r="316" spans="2:4" ht="17.25" hidden="1" customHeight="1" x14ac:dyDescent="0.25">
      <c r="B316" s="1">
        <f t="shared" si="19"/>
        <v>0</v>
      </c>
      <c r="C316" s="1" t="str">
        <f t="shared" si="18"/>
        <v>0</v>
      </c>
      <c r="D316" s="250">
        <f t="shared" si="20"/>
        <v>0</v>
      </c>
    </row>
    <row r="317" spans="2:4" ht="17.25" hidden="1" customHeight="1" x14ac:dyDescent="0.25">
      <c r="B317" s="1">
        <f t="shared" si="19"/>
        <v>0</v>
      </c>
      <c r="C317" s="1" t="str">
        <f t="shared" si="18"/>
        <v>0</v>
      </c>
      <c r="D317" s="250">
        <f t="shared" si="20"/>
        <v>0</v>
      </c>
    </row>
    <row r="318" spans="2:4" ht="17.25" hidden="1" customHeight="1" x14ac:dyDescent="0.25">
      <c r="B318" s="1">
        <f t="shared" si="19"/>
        <v>0</v>
      </c>
      <c r="C318" s="1" t="str">
        <f t="shared" si="18"/>
        <v>0</v>
      </c>
      <c r="D318" s="250">
        <f t="shared" si="20"/>
        <v>0</v>
      </c>
    </row>
    <row r="319" spans="2:4" ht="17.25" hidden="1" customHeight="1" x14ac:dyDescent="0.25">
      <c r="B319" s="1">
        <f t="shared" si="19"/>
        <v>0</v>
      </c>
      <c r="C319" s="1" t="str">
        <f t="shared" si="18"/>
        <v>0</v>
      </c>
      <c r="D319" s="250">
        <f t="shared" si="20"/>
        <v>0</v>
      </c>
    </row>
    <row r="320" spans="2:4" ht="17.25" hidden="1" customHeight="1" x14ac:dyDescent="0.25">
      <c r="B320" s="1">
        <f t="shared" si="19"/>
        <v>0</v>
      </c>
      <c r="C320" s="1" t="str">
        <f t="shared" si="18"/>
        <v>0</v>
      </c>
      <c r="D320" s="250">
        <f t="shared" si="20"/>
        <v>0</v>
      </c>
    </row>
    <row r="321" spans="2:4" ht="17.25" hidden="1" customHeight="1" x14ac:dyDescent="0.25">
      <c r="B321" s="1">
        <f t="shared" si="19"/>
        <v>0</v>
      </c>
      <c r="C321" s="1" t="str">
        <f t="shared" si="18"/>
        <v>0</v>
      </c>
      <c r="D321" s="250">
        <f t="shared" si="20"/>
        <v>0</v>
      </c>
    </row>
    <row r="322" spans="2:4" ht="17.25" hidden="1" customHeight="1" x14ac:dyDescent="0.25">
      <c r="B322" s="1">
        <f t="shared" si="19"/>
        <v>0</v>
      </c>
      <c r="C322" s="1" t="str">
        <f t="shared" si="18"/>
        <v>0</v>
      </c>
      <c r="D322" s="250">
        <f t="shared" si="20"/>
        <v>0</v>
      </c>
    </row>
    <row r="323" spans="2:4" ht="17.25" hidden="1" customHeight="1" x14ac:dyDescent="0.25">
      <c r="B323" s="1">
        <f t="shared" si="19"/>
        <v>0</v>
      </c>
      <c r="C323" s="1" t="str">
        <f t="shared" si="18"/>
        <v>0</v>
      </c>
      <c r="D323" s="250">
        <f t="shared" si="20"/>
        <v>0</v>
      </c>
    </row>
    <row r="324" spans="2:4" ht="17.25" hidden="1" customHeight="1" x14ac:dyDescent="0.25">
      <c r="B324" s="1">
        <f t="shared" si="19"/>
        <v>0</v>
      </c>
      <c r="C324" s="1" t="str">
        <f t="shared" si="18"/>
        <v>0</v>
      </c>
      <c r="D324" s="250">
        <f t="shared" si="20"/>
        <v>0</v>
      </c>
    </row>
    <row r="325" spans="2:4" ht="17.25" hidden="1" customHeight="1" x14ac:dyDescent="0.25">
      <c r="B325" s="1">
        <f t="shared" si="19"/>
        <v>0</v>
      </c>
      <c r="C325" s="1" t="str">
        <f t="shared" si="18"/>
        <v>0</v>
      </c>
      <c r="D325" s="250">
        <f t="shared" si="20"/>
        <v>0</v>
      </c>
    </row>
    <row r="326" spans="2:4" ht="17.25" hidden="1" customHeight="1" x14ac:dyDescent="0.25">
      <c r="B326" s="1">
        <f t="shared" si="19"/>
        <v>0</v>
      </c>
      <c r="C326" s="1" t="str">
        <f t="shared" si="18"/>
        <v>0</v>
      </c>
      <c r="D326" s="250">
        <f t="shared" si="20"/>
        <v>0</v>
      </c>
    </row>
    <row r="327" spans="2:4" ht="17.25" hidden="1" customHeight="1" x14ac:dyDescent="0.25">
      <c r="B327" s="1">
        <f t="shared" si="19"/>
        <v>0</v>
      </c>
      <c r="C327" s="1" t="str">
        <f t="shared" si="18"/>
        <v>0</v>
      </c>
      <c r="D327" s="250">
        <f t="shared" si="20"/>
        <v>0</v>
      </c>
    </row>
    <row r="328" spans="2:4" ht="17.25" hidden="1" customHeight="1" x14ac:dyDescent="0.25">
      <c r="B328" s="1">
        <f t="shared" si="19"/>
        <v>0</v>
      </c>
      <c r="C328" s="1" t="str">
        <f t="shared" si="18"/>
        <v>0</v>
      </c>
      <c r="D328" s="250">
        <f t="shared" si="20"/>
        <v>0</v>
      </c>
    </row>
    <row r="329" spans="2:4" ht="17.25" hidden="1" customHeight="1" x14ac:dyDescent="0.25">
      <c r="B329" s="1">
        <f t="shared" si="19"/>
        <v>0</v>
      </c>
      <c r="C329" s="1" t="str">
        <f t="shared" si="18"/>
        <v>0</v>
      </c>
      <c r="D329" s="250">
        <f t="shared" si="20"/>
        <v>0</v>
      </c>
    </row>
    <row r="330" spans="2:4" ht="17.25" hidden="1" customHeight="1" x14ac:dyDescent="0.25">
      <c r="B330" s="1">
        <f t="shared" si="19"/>
        <v>0</v>
      </c>
      <c r="C330" s="1" t="str">
        <f t="shared" si="18"/>
        <v>0</v>
      </c>
      <c r="D330" s="250">
        <f t="shared" si="20"/>
        <v>0</v>
      </c>
    </row>
    <row r="331" spans="2:4" ht="17.25" hidden="1" customHeight="1" x14ac:dyDescent="0.25">
      <c r="B331" s="1">
        <f t="shared" si="19"/>
        <v>0</v>
      </c>
      <c r="C331" s="1" t="str">
        <f t="shared" si="18"/>
        <v>0</v>
      </c>
      <c r="D331" s="250">
        <f t="shared" si="20"/>
        <v>0</v>
      </c>
    </row>
    <row r="332" spans="2:4" ht="17.25" hidden="1" customHeight="1" x14ac:dyDescent="0.25">
      <c r="B332" s="1">
        <f t="shared" si="19"/>
        <v>0</v>
      </c>
      <c r="C332" s="1" t="str">
        <f t="shared" si="18"/>
        <v>0</v>
      </c>
      <c r="D332" s="250">
        <f t="shared" si="20"/>
        <v>0</v>
      </c>
    </row>
    <row r="333" spans="2:4" ht="17.25" hidden="1" customHeight="1" x14ac:dyDescent="0.25">
      <c r="B333" s="1">
        <f t="shared" si="19"/>
        <v>0</v>
      </c>
      <c r="C333" s="1" t="str">
        <f t="shared" si="18"/>
        <v>0</v>
      </c>
      <c r="D333" s="250">
        <f t="shared" si="20"/>
        <v>0</v>
      </c>
    </row>
    <row r="334" spans="2:4" ht="17.25" hidden="1" customHeight="1" x14ac:dyDescent="0.25">
      <c r="B334" s="1">
        <f t="shared" si="19"/>
        <v>0</v>
      </c>
      <c r="C334" s="1" t="str">
        <f t="shared" si="18"/>
        <v>0</v>
      </c>
      <c r="D334" s="250">
        <f t="shared" si="20"/>
        <v>0</v>
      </c>
    </row>
    <row r="335" spans="2:4" ht="17.25" hidden="1" customHeight="1" x14ac:dyDescent="0.25">
      <c r="B335" s="1">
        <f t="shared" si="19"/>
        <v>0</v>
      </c>
      <c r="C335" s="1" t="str">
        <f t="shared" si="18"/>
        <v>0</v>
      </c>
      <c r="D335" s="250">
        <f t="shared" si="20"/>
        <v>0</v>
      </c>
    </row>
    <row r="336" spans="2:4" ht="17.25" hidden="1" customHeight="1" x14ac:dyDescent="0.25">
      <c r="B336" s="1">
        <f t="shared" si="19"/>
        <v>0</v>
      </c>
      <c r="C336" s="1" t="str">
        <f t="shared" si="18"/>
        <v>0</v>
      </c>
      <c r="D336" s="250">
        <f t="shared" si="20"/>
        <v>0</v>
      </c>
    </row>
    <row r="337" spans="2:4" ht="17.25" hidden="1" customHeight="1" x14ac:dyDescent="0.25">
      <c r="B337" s="1">
        <f t="shared" si="19"/>
        <v>0</v>
      </c>
      <c r="C337" s="1" t="str">
        <f t="shared" si="18"/>
        <v>0</v>
      </c>
      <c r="D337" s="250">
        <f t="shared" si="20"/>
        <v>0</v>
      </c>
    </row>
    <row r="338" spans="2:4" ht="17.25" hidden="1" customHeight="1" x14ac:dyDescent="0.25">
      <c r="B338" s="1">
        <f t="shared" si="19"/>
        <v>0</v>
      </c>
      <c r="C338" s="1" t="str">
        <f t="shared" si="18"/>
        <v>0</v>
      </c>
      <c r="D338" s="250">
        <f t="shared" si="20"/>
        <v>0</v>
      </c>
    </row>
    <row r="339" spans="2:4" ht="17.25" hidden="1" customHeight="1" x14ac:dyDescent="0.25">
      <c r="B339" s="1">
        <f t="shared" si="19"/>
        <v>0</v>
      </c>
      <c r="C339" s="1" t="str">
        <f t="shared" si="18"/>
        <v>0</v>
      </c>
      <c r="D339" s="250">
        <f t="shared" si="20"/>
        <v>0</v>
      </c>
    </row>
    <row r="340" spans="2:4" ht="17.25" hidden="1" customHeight="1" x14ac:dyDescent="0.25">
      <c r="B340" s="1">
        <f t="shared" si="19"/>
        <v>0</v>
      </c>
      <c r="C340" s="1" t="str">
        <f t="shared" si="18"/>
        <v>0</v>
      </c>
      <c r="D340" s="250">
        <f t="shared" si="20"/>
        <v>0</v>
      </c>
    </row>
    <row r="341" spans="2:4" ht="17.25" hidden="1" customHeight="1" x14ac:dyDescent="0.25">
      <c r="B341" s="1">
        <f t="shared" si="19"/>
        <v>0</v>
      </c>
      <c r="C341" s="1" t="str">
        <f t="shared" si="18"/>
        <v>0</v>
      </c>
      <c r="D341" s="250">
        <f t="shared" si="20"/>
        <v>0</v>
      </c>
    </row>
    <row r="342" spans="2:4" ht="17.25" hidden="1" customHeight="1" x14ac:dyDescent="0.25">
      <c r="B342" s="1">
        <f t="shared" si="19"/>
        <v>0</v>
      </c>
      <c r="C342" s="1" t="str">
        <f t="shared" si="18"/>
        <v>0</v>
      </c>
      <c r="D342" s="250">
        <f t="shared" si="20"/>
        <v>0</v>
      </c>
    </row>
    <row r="343" spans="2:4" ht="17.25" hidden="1" customHeight="1" x14ac:dyDescent="0.25">
      <c r="B343" s="1">
        <f t="shared" si="19"/>
        <v>0</v>
      </c>
      <c r="C343" s="1" t="str">
        <f t="shared" si="18"/>
        <v>0</v>
      </c>
      <c r="D343" s="250">
        <f t="shared" si="20"/>
        <v>0</v>
      </c>
    </row>
    <row r="344" spans="2:4" ht="17.25" hidden="1" customHeight="1" x14ac:dyDescent="0.25">
      <c r="B344" s="1">
        <f t="shared" si="19"/>
        <v>0</v>
      </c>
      <c r="C344" s="1" t="str">
        <f t="shared" si="18"/>
        <v>0</v>
      </c>
      <c r="D344" s="250">
        <f t="shared" si="20"/>
        <v>0</v>
      </c>
    </row>
    <row r="345" spans="2:4" ht="17.25" hidden="1" customHeight="1" x14ac:dyDescent="0.25">
      <c r="B345" s="1">
        <f t="shared" si="19"/>
        <v>0</v>
      </c>
      <c r="C345" s="1" t="str">
        <f t="shared" si="18"/>
        <v>0</v>
      </c>
      <c r="D345" s="250">
        <f t="shared" si="20"/>
        <v>0</v>
      </c>
    </row>
    <row r="346" spans="2:4" ht="17.25" hidden="1" customHeight="1" x14ac:dyDescent="0.25">
      <c r="B346" s="1">
        <f t="shared" si="19"/>
        <v>0</v>
      </c>
      <c r="C346" s="1" t="str">
        <f t="shared" si="18"/>
        <v>0</v>
      </c>
      <c r="D346" s="250">
        <f t="shared" si="20"/>
        <v>0</v>
      </c>
    </row>
    <row r="347" spans="2:4" ht="17.25" hidden="1" customHeight="1" x14ac:dyDescent="0.25">
      <c r="B347" s="1">
        <f t="shared" si="19"/>
        <v>0</v>
      </c>
      <c r="C347" s="1" t="str">
        <f t="shared" si="18"/>
        <v>0</v>
      </c>
      <c r="D347" s="250">
        <f t="shared" si="20"/>
        <v>0</v>
      </c>
    </row>
    <row r="348" spans="2:4" ht="17.25" hidden="1" customHeight="1" x14ac:dyDescent="0.25">
      <c r="B348" s="1">
        <f>AP3</f>
        <v>0</v>
      </c>
      <c r="C348" s="1" t="str">
        <f t="shared" si="18"/>
        <v>0</v>
      </c>
      <c r="D348" s="250">
        <f>AR3</f>
        <v>0</v>
      </c>
    </row>
    <row r="349" spans="2:4" ht="17.25" hidden="1" customHeight="1" x14ac:dyDescent="0.25">
      <c r="B349" s="1">
        <f t="shared" ref="B349:B385" si="21">AP4</f>
        <v>0</v>
      </c>
      <c r="C349" s="1" t="str">
        <f t="shared" si="18"/>
        <v>0</v>
      </c>
      <c r="D349" s="250">
        <f t="shared" ref="D349:D385" si="22">AR4</f>
        <v>0</v>
      </c>
    </row>
    <row r="350" spans="2:4" ht="17.25" hidden="1" customHeight="1" x14ac:dyDescent="0.25">
      <c r="B350" s="1">
        <f t="shared" si="21"/>
        <v>0</v>
      </c>
      <c r="C350" s="1" t="str">
        <f t="shared" si="18"/>
        <v>0</v>
      </c>
      <c r="D350" s="250">
        <f t="shared" si="22"/>
        <v>0</v>
      </c>
    </row>
    <row r="351" spans="2:4" ht="17.25" hidden="1" customHeight="1" x14ac:dyDescent="0.25">
      <c r="B351" s="1">
        <f t="shared" si="21"/>
        <v>0</v>
      </c>
      <c r="C351" s="1" t="str">
        <f t="shared" si="18"/>
        <v>0</v>
      </c>
      <c r="D351" s="250">
        <f t="shared" si="22"/>
        <v>0</v>
      </c>
    </row>
    <row r="352" spans="2:4" ht="17.25" hidden="1" customHeight="1" x14ac:dyDescent="0.25">
      <c r="B352" s="1">
        <f t="shared" si="21"/>
        <v>0</v>
      </c>
      <c r="C352" s="1" t="str">
        <f t="shared" si="18"/>
        <v>0</v>
      </c>
      <c r="D352" s="250">
        <f t="shared" si="22"/>
        <v>0</v>
      </c>
    </row>
    <row r="353" spans="2:4" ht="17.25" hidden="1" customHeight="1" x14ac:dyDescent="0.25">
      <c r="B353" s="1">
        <f t="shared" si="21"/>
        <v>0</v>
      </c>
      <c r="C353" s="1" t="str">
        <f t="shared" si="18"/>
        <v>0</v>
      </c>
      <c r="D353" s="250">
        <f t="shared" si="22"/>
        <v>0</v>
      </c>
    </row>
    <row r="354" spans="2:4" ht="17.25" hidden="1" customHeight="1" x14ac:dyDescent="0.25">
      <c r="B354" s="1">
        <f t="shared" si="21"/>
        <v>0</v>
      </c>
      <c r="C354" s="1" t="str">
        <f t="shared" si="18"/>
        <v>0</v>
      </c>
      <c r="D354" s="250">
        <f t="shared" si="22"/>
        <v>0</v>
      </c>
    </row>
    <row r="355" spans="2:4" ht="17.25" hidden="1" customHeight="1" x14ac:dyDescent="0.25">
      <c r="B355" s="1">
        <f t="shared" si="21"/>
        <v>0</v>
      </c>
      <c r="C355" s="1" t="str">
        <f t="shared" si="18"/>
        <v>0</v>
      </c>
      <c r="D355" s="250">
        <f t="shared" si="22"/>
        <v>0</v>
      </c>
    </row>
    <row r="356" spans="2:4" ht="17.25" hidden="1" customHeight="1" x14ac:dyDescent="0.25">
      <c r="B356" s="1">
        <f t="shared" si="21"/>
        <v>0</v>
      </c>
      <c r="C356" s="1" t="str">
        <f t="shared" si="18"/>
        <v>0</v>
      </c>
      <c r="D356" s="250">
        <f t="shared" si="22"/>
        <v>0</v>
      </c>
    </row>
    <row r="357" spans="2:4" ht="17.25" hidden="1" customHeight="1" x14ac:dyDescent="0.25">
      <c r="B357" s="1">
        <f t="shared" si="21"/>
        <v>0</v>
      </c>
      <c r="C357" s="1" t="str">
        <f t="shared" si="18"/>
        <v>0</v>
      </c>
      <c r="D357" s="250">
        <f t="shared" si="22"/>
        <v>0</v>
      </c>
    </row>
    <row r="358" spans="2:4" ht="17.25" hidden="1" customHeight="1" x14ac:dyDescent="0.25">
      <c r="B358" s="1">
        <f t="shared" si="21"/>
        <v>0</v>
      </c>
      <c r="C358" s="1" t="str">
        <f t="shared" si="18"/>
        <v>0</v>
      </c>
      <c r="D358" s="250">
        <f t="shared" si="22"/>
        <v>0</v>
      </c>
    </row>
    <row r="359" spans="2:4" ht="17.25" hidden="1" customHeight="1" x14ac:dyDescent="0.25">
      <c r="B359" s="1">
        <f t="shared" si="21"/>
        <v>0</v>
      </c>
      <c r="C359" s="1" t="str">
        <f t="shared" si="18"/>
        <v>0</v>
      </c>
      <c r="D359" s="250">
        <f t="shared" si="22"/>
        <v>0</v>
      </c>
    </row>
    <row r="360" spans="2:4" ht="17.25" hidden="1" customHeight="1" x14ac:dyDescent="0.25">
      <c r="B360" s="1">
        <f t="shared" si="21"/>
        <v>0</v>
      </c>
      <c r="C360" s="1" t="str">
        <f t="shared" si="18"/>
        <v>0</v>
      </c>
      <c r="D360" s="250">
        <f t="shared" si="22"/>
        <v>0</v>
      </c>
    </row>
    <row r="361" spans="2:4" ht="17.25" hidden="1" customHeight="1" x14ac:dyDescent="0.25">
      <c r="B361" s="1">
        <f t="shared" si="21"/>
        <v>0</v>
      </c>
      <c r="C361" s="1" t="str">
        <f t="shared" si="18"/>
        <v>0</v>
      </c>
      <c r="D361" s="250">
        <f t="shared" si="22"/>
        <v>0</v>
      </c>
    </row>
    <row r="362" spans="2:4" ht="17.25" hidden="1" customHeight="1" x14ac:dyDescent="0.25">
      <c r="B362" s="1">
        <f t="shared" si="21"/>
        <v>0</v>
      </c>
      <c r="C362" s="1" t="str">
        <f t="shared" si="18"/>
        <v>0</v>
      </c>
      <c r="D362" s="250">
        <f t="shared" si="22"/>
        <v>0</v>
      </c>
    </row>
    <row r="363" spans="2:4" ht="17.25" hidden="1" customHeight="1" x14ac:dyDescent="0.25">
      <c r="B363" s="1">
        <f t="shared" si="21"/>
        <v>0</v>
      </c>
      <c r="C363" s="1" t="str">
        <f t="shared" si="18"/>
        <v>0</v>
      </c>
      <c r="D363" s="250">
        <f t="shared" si="22"/>
        <v>0</v>
      </c>
    </row>
    <row r="364" spans="2:4" ht="17.25" hidden="1" customHeight="1" x14ac:dyDescent="0.25">
      <c r="B364" s="1">
        <f t="shared" si="21"/>
        <v>0</v>
      </c>
      <c r="C364" s="1" t="str">
        <f t="shared" si="18"/>
        <v>0</v>
      </c>
      <c r="D364" s="250">
        <f t="shared" si="22"/>
        <v>0</v>
      </c>
    </row>
    <row r="365" spans="2:4" ht="17.25" hidden="1" customHeight="1" x14ac:dyDescent="0.25">
      <c r="B365" s="1">
        <f t="shared" si="21"/>
        <v>0</v>
      </c>
      <c r="C365" s="1" t="str">
        <f t="shared" ref="C365:C428" si="23">LEFT(D365,3)</f>
        <v>0</v>
      </c>
      <c r="D365" s="250">
        <f t="shared" si="22"/>
        <v>0</v>
      </c>
    </row>
    <row r="366" spans="2:4" ht="17.25" hidden="1" customHeight="1" x14ac:dyDescent="0.25">
      <c r="B366" s="1">
        <f t="shared" si="21"/>
        <v>0</v>
      </c>
      <c r="C366" s="1" t="str">
        <f t="shared" si="23"/>
        <v>0</v>
      </c>
      <c r="D366" s="250">
        <f t="shared" si="22"/>
        <v>0</v>
      </c>
    </row>
    <row r="367" spans="2:4" ht="17.25" hidden="1" customHeight="1" x14ac:dyDescent="0.25">
      <c r="B367" s="1">
        <f t="shared" si="21"/>
        <v>0</v>
      </c>
      <c r="C367" s="1" t="str">
        <f t="shared" si="23"/>
        <v>0</v>
      </c>
      <c r="D367" s="250">
        <f t="shared" si="22"/>
        <v>0</v>
      </c>
    </row>
    <row r="368" spans="2:4" ht="17.25" hidden="1" customHeight="1" x14ac:dyDescent="0.25">
      <c r="B368" s="1">
        <f t="shared" si="21"/>
        <v>0</v>
      </c>
      <c r="C368" s="1" t="str">
        <f t="shared" si="23"/>
        <v>0</v>
      </c>
      <c r="D368" s="250">
        <f t="shared" si="22"/>
        <v>0</v>
      </c>
    </row>
    <row r="369" spans="2:4" ht="17.25" hidden="1" customHeight="1" x14ac:dyDescent="0.25">
      <c r="B369" s="1">
        <f t="shared" si="21"/>
        <v>0</v>
      </c>
      <c r="C369" s="1" t="str">
        <f t="shared" si="23"/>
        <v>0</v>
      </c>
      <c r="D369" s="250">
        <f t="shared" si="22"/>
        <v>0</v>
      </c>
    </row>
    <row r="370" spans="2:4" ht="17.25" hidden="1" customHeight="1" x14ac:dyDescent="0.25">
      <c r="B370" s="1">
        <f t="shared" si="21"/>
        <v>0</v>
      </c>
      <c r="C370" s="1" t="str">
        <f t="shared" si="23"/>
        <v>0</v>
      </c>
      <c r="D370" s="250">
        <f t="shared" si="22"/>
        <v>0</v>
      </c>
    </row>
    <row r="371" spans="2:4" ht="17.25" hidden="1" customHeight="1" x14ac:dyDescent="0.25">
      <c r="B371" s="1">
        <f t="shared" si="21"/>
        <v>0</v>
      </c>
      <c r="C371" s="1" t="str">
        <f t="shared" si="23"/>
        <v>0</v>
      </c>
      <c r="D371" s="250">
        <f t="shared" si="22"/>
        <v>0</v>
      </c>
    </row>
    <row r="372" spans="2:4" ht="17.25" hidden="1" customHeight="1" x14ac:dyDescent="0.25">
      <c r="B372" s="1">
        <f t="shared" si="21"/>
        <v>0</v>
      </c>
      <c r="C372" s="1" t="str">
        <f t="shared" si="23"/>
        <v>0</v>
      </c>
      <c r="D372" s="250">
        <f t="shared" si="22"/>
        <v>0</v>
      </c>
    </row>
    <row r="373" spans="2:4" ht="17.25" hidden="1" customHeight="1" x14ac:dyDescent="0.25">
      <c r="B373" s="1">
        <f t="shared" si="21"/>
        <v>0</v>
      </c>
      <c r="C373" s="1" t="str">
        <f t="shared" si="23"/>
        <v>0</v>
      </c>
      <c r="D373" s="250">
        <f t="shared" si="22"/>
        <v>0</v>
      </c>
    </row>
    <row r="374" spans="2:4" ht="17.25" hidden="1" customHeight="1" x14ac:dyDescent="0.25">
      <c r="B374" s="1">
        <f t="shared" si="21"/>
        <v>0</v>
      </c>
      <c r="C374" s="1" t="str">
        <f t="shared" si="23"/>
        <v>0</v>
      </c>
      <c r="D374" s="250">
        <f t="shared" si="22"/>
        <v>0</v>
      </c>
    </row>
    <row r="375" spans="2:4" ht="17.25" hidden="1" customHeight="1" x14ac:dyDescent="0.25">
      <c r="B375" s="1">
        <f t="shared" si="21"/>
        <v>0</v>
      </c>
      <c r="C375" s="1" t="str">
        <f t="shared" si="23"/>
        <v>0</v>
      </c>
      <c r="D375" s="250">
        <f t="shared" si="22"/>
        <v>0</v>
      </c>
    </row>
    <row r="376" spans="2:4" ht="17.25" hidden="1" customHeight="1" x14ac:dyDescent="0.25">
      <c r="B376" s="1">
        <f t="shared" si="21"/>
        <v>0</v>
      </c>
      <c r="C376" s="1" t="str">
        <f t="shared" si="23"/>
        <v>0</v>
      </c>
      <c r="D376" s="250">
        <f t="shared" si="22"/>
        <v>0</v>
      </c>
    </row>
    <row r="377" spans="2:4" ht="17.25" hidden="1" customHeight="1" x14ac:dyDescent="0.25">
      <c r="B377" s="1">
        <f t="shared" si="21"/>
        <v>0</v>
      </c>
      <c r="C377" s="1" t="str">
        <f t="shared" si="23"/>
        <v>0</v>
      </c>
      <c r="D377" s="250">
        <f t="shared" si="22"/>
        <v>0</v>
      </c>
    </row>
    <row r="378" spans="2:4" ht="17.25" hidden="1" customHeight="1" x14ac:dyDescent="0.25">
      <c r="B378" s="1">
        <f t="shared" si="21"/>
        <v>0</v>
      </c>
      <c r="C378" s="1" t="str">
        <f t="shared" si="23"/>
        <v>0</v>
      </c>
      <c r="D378" s="250">
        <f t="shared" si="22"/>
        <v>0</v>
      </c>
    </row>
    <row r="379" spans="2:4" ht="17.25" hidden="1" customHeight="1" x14ac:dyDescent="0.25">
      <c r="B379" s="1">
        <f t="shared" si="21"/>
        <v>0</v>
      </c>
      <c r="C379" s="1" t="str">
        <f t="shared" si="23"/>
        <v>0</v>
      </c>
      <c r="D379" s="250">
        <f t="shared" si="22"/>
        <v>0</v>
      </c>
    </row>
    <row r="380" spans="2:4" ht="17.25" hidden="1" customHeight="1" x14ac:dyDescent="0.25">
      <c r="B380" s="1">
        <f t="shared" si="21"/>
        <v>0</v>
      </c>
      <c r="C380" s="1" t="str">
        <f t="shared" si="23"/>
        <v>0</v>
      </c>
      <c r="D380" s="250">
        <f t="shared" si="22"/>
        <v>0</v>
      </c>
    </row>
    <row r="381" spans="2:4" ht="17.25" hidden="1" customHeight="1" x14ac:dyDescent="0.25">
      <c r="B381" s="1">
        <f t="shared" si="21"/>
        <v>0</v>
      </c>
      <c r="C381" s="1" t="str">
        <f t="shared" si="23"/>
        <v>0</v>
      </c>
      <c r="D381" s="250">
        <f t="shared" si="22"/>
        <v>0</v>
      </c>
    </row>
    <row r="382" spans="2:4" ht="17.25" hidden="1" customHeight="1" x14ac:dyDescent="0.25">
      <c r="B382" s="1">
        <f t="shared" si="21"/>
        <v>0</v>
      </c>
      <c r="C382" s="1" t="str">
        <f t="shared" si="23"/>
        <v>0</v>
      </c>
      <c r="D382" s="250">
        <f t="shared" si="22"/>
        <v>0</v>
      </c>
    </row>
    <row r="383" spans="2:4" ht="17.25" hidden="1" customHeight="1" x14ac:dyDescent="0.25">
      <c r="B383" s="1">
        <f t="shared" si="21"/>
        <v>0</v>
      </c>
      <c r="C383" s="1" t="str">
        <f t="shared" si="23"/>
        <v>0</v>
      </c>
      <c r="D383" s="250">
        <f t="shared" si="22"/>
        <v>0</v>
      </c>
    </row>
    <row r="384" spans="2:4" ht="17.25" hidden="1" customHeight="1" x14ac:dyDescent="0.25">
      <c r="B384" s="1">
        <f t="shared" si="21"/>
        <v>0</v>
      </c>
      <c r="C384" s="1" t="str">
        <f t="shared" si="23"/>
        <v>0</v>
      </c>
      <c r="D384" s="250">
        <f t="shared" si="22"/>
        <v>0</v>
      </c>
    </row>
    <row r="385" spans="2:4" ht="17.25" hidden="1" customHeight="1" x14ac:dyDescent="0.25">
      <c r="B385" s="1">
        <f t="shared" si="21"/>
        <v>0</v>
      </c>
      <c r="C385" s="1" t="str">
        <f t="shared" si="23"/>
        <v>0</v>
      </c>
      <c r="D385" s="250">
        <f t="shared" si="22"/>
        <v>0</v>
      </c>
    </row>
    <row r="386" spans="2:4" ht="17.25" hidden="1" customHeight="1" x14ac:dyDescent="0.25">
      <c r="B386" s="1">
        <f>AU3</f>
        <v>0</v>
      </c>
      <c r="C386" s="1" t="str">
        <f t="shared" si="23"/>
        <v>0</v>
      </c>
      <c r="D386" s="1">
        <f>AW3</f>
        <v>0</v>
      </c>
    </row>
    <row r="387" spans="2:4" ht="17.25" hidden="1" customHeight="1" x14ac:dyDescent="0.25">
      <c r="B387" s="1">
        <f t="shared" ref="B387:B423" si="24">AU4</f>
        <v>0</v>
      </c>
      <c r="C387" s="1" t="str">
        <f t="shared" si="23"/>
        <v>0</v>
      </c>
      <c r="D387" s="1">
        <f t="shared" ref="D387:D423" si="25">AW4</f>
        <v>0</v>
      </c>
    </row>
    <row r="388" spans="2:4" ht="17.25" hidden="1" customHeight="1" x14ac:dyDescent="0.25">
      <c r="B388" s="1">
        <f t="shared" si="24"/>
        <v>0</v>
      </c>
      <c r="C388" s="1" t="str">
        <f t="shared" si="23"/>
        <v>0</v>
      </c>
      <c r="D388" s="1">
        <f t="shared" si="25"/>
        <v>0</v>
      </c>
    </row>
    <row r="389" spans="2:4" ht="17.25" hidden="1" customHeight="1" x14ac:dyDescent="0.25">
      <c r="B389" s="1">
        <f t="shared" si="24"/>
        <v>0</v>
      </c>
      <c r="C389" s="1" t="str">
        <f t="shared" si="23"/>
        <v>0</v>
      </c>
      <c r="D389" s="1">
        <f t="shared" si="25"/>
        <v>0</v>
      </c>
    </row>
    <row r="390" spans="2:4" ht="17.25" hidden="1" customHeight="1" x14ac:dyDescent="0.25">
      <c r="B390" s="1">
        <f t="shared" si="24"/>
        <v>0</v>
      </c>
      <c r="C390" s="1" t="str">
        <f t="shared" si="23"/>
        <v>0</v>
      </c>
      <c r="D390" s="1">
        <f t="shared" si="25"/>
        <v>0</v>
      </c>
    </row>
    <row r="391" spans="2:4" ht="17.25" hidden="1" customHeight="1" x14ac:dyDescent="0.25">
      <c r="B391" s="1">
        <f t="shared" si="24"/>
        <v>0</v>
      </c>
      <c r="C391" s="1" t="str">
        <f t="shared" si="23"/>
        <v>0</v>
      </c>
      <c r="D391" s="1">
        <f t="shared" si="25"/>
        <v>0</v>
      </c>
    </row>
    <row r="392" spans="2:4" ht="17.25" hidden="1" customHeight="1" x14ac:dyDescent="0.25">
      <c r="B392" s="1">
        <f t="shared" si="24"/>
        <v>0</v>
      </c>
      <c r="C392" s="1" t="str">
        <f t="shared" si="23"/>
        <v>0</v>
      </c>
      <c r="D392" s="1">
        <f t="shared" si="25"/>
        <v>0</v>
      </c>
    </row>
    <row r="393" spans="2:4" ht="17.25" hidden="1" customHeight="1" x14ac:dyDescent="0.25">
      <c r="B393" s="1">
        <f t="shared" si="24"/>
        <v>0</v>
      </c>
      <c r="C393" s="1" t="str">
        <f t="shared" si="23"/>
        <v>0</v>
      </c>
      <c r="D393" s="1">
        <f t="shared" si="25"/>
        <v>0</v>
      </c>
    </row>
    <row r="394" spans="2:4" ht="17.25" hidden="1" customHeight="1" x14ac:dyDescent="0.25">
      <c r="B394" s="1">
        <f t="shared" si="24"/>
        <v>0</v>
      </c>
      <c r="C394" s="1" t="str">
        <f t="shared" si="23"/>
        <v>0</v>
      </c>
      <c r="D394" s="1">
        <f t="shared" si="25"/>
        <v>0</v>
      </c>
    </row>
    <row r="395" spans="2:4" ht="17.25" hidden="1" customHeight="1" x14ac:dyDescent="0.25">
      <c r="B395" s="1">
        <f t="shared" si="24"/>
        <v>0</v>
      </c>
      <c r="C395" s="1" t="str">
        <f t="shared" si="23"/>
        <v>0</v>
      </c>
      <c r="D395" s="1">
        <f t="shared" si="25"/>
        <v>0</v>
      </c>
    </row>
    <row r="396" spans="2:4" ht="17.25" hidden="1" customHeight="1" x14ac:dyDescent="0.25">
      <c r="B396" s="1">
        <f t="shared" si="24"/>
        <v>0</v>
      </c>
      <c r="C396" s="1" t="str">
        <f t="shared" si="23"/>
        <v>0</v>
      </c>
      <c r="D396" s="1">
        <f t="shared" si="25"/>
        <v>0</v>
      </c>
    </row>
    <row r="397" spans="2:4" ht="17.25" hidden="1" customHeight="1" x14ac:dyDescent="0.25">
      <c r="B397" s="1">
        <f t="shared" si="24"/>
        <v>0</v>
      </c>
      <c r="C397" s="1" t="str">
        <f t="shared" si="23"/>
        <v>0</v>
      </c>
      <c r="D397" s="1">
        <f t="shared" si="25"/>
        <v>0</v>
      </c>
    </row>
    <row r="398" spans="2:4" ht="17.25" hidden="1" customHeight="1" x14ac:dyDescent="0.25">
      <c r="B398" s="1">
        <f t="shared" si="24"/>
        <v>0</v>
      </c>
      <c r="C398" s="1" t="str">
        <f t="shared" si="23"/>
        <v>0</v>
      </c>
      <c r="D398" s="1">
        <f t="shared" si="25"/>
        <v>0</v>
      </c>
    </row>
    <row r="399" spans="2:4" ht="17.25" hidden="1" customHeight="1" x14ac:dyDescent="0.25">
      <c r="B399" s="1">
        <f t="shared" si="24"/>
        <v>0</v>
      </c>
      <c r="C399" s="1" t="str">
        <f t="shared" si="23"/>
        <v>0</v>
      </c>
      <c r="D399" s="1">
        <f t="shared" si="25"/>
        <v>0</v>
      </c>
    </row>
    <row r="400" spans="2:4" ht="17.25" hidden="1" customHeight="1" x14ac:dyDescent="0.25">
      <c r="B400" s="1">
        <f t="shared" si="24"/>
        <v>0</v>
      </c>
      <c r="C400" s="1" t="str">
        <f t="shared" si="23"/>
        <v>0</v>
      </c>
      <c r="D400" s="1">
        <f t="shared" si="25"/>
        <v>0</v>
      </c>
    </row>
    <row r="401" spans="2:4" ht="17.25" hidden="1" customHeight="1" x14ac:dyDescent="0.25">
      <c r="B401" s="1">
        <f t="shared" si="24"/>
        <v>0</v>
      </c>
      <c r="C401" s="1" t="str">
        <f t="shared" si="23"/>
        <v>0</v>
      </c>
      <c r="D401" s="1">
        <f t="shared" si="25"/>
        <v>0</v>
      </c>
    </row>
    <row r="402" spans="2:4" ht="17.25" hidden="1" customHeight="1" x14ac:dyDescent="0.25">
      <c r="B402" s="1">
        <f t="shared" si="24"/>
        <v>0</v>
      </c>
      <c r="C402" s="1" t="str">
        <f t="shared" si="23"/>
        <v>0</v>
      </c>
      <c r="D402" s="1">
        <f t="shared" si="25"/>
        <v>0</v>
      </c>
    </row>
    <row r="403" spans="2:4" ht="17.25" hidden="1" customHeight="1" x14ac:dyDescent="0.25">
      <c r="B403" s="1">
        <f t="shared" si="24"/>
        <v>0</v>
      </c>
      <c r="C403" s="1" t="str">
        <f t="shared" si="23"/>
        <v>0</v>
      </c>
      <c r="D403" s="1">
        <f t="shared" si="25"/>
        <v>0</v>
      </c>
    </row>
    <row r="404" spans="2:4" ht="17.25" hidden="1" customHeight="1" x14ac:dyDescent="0.25">
      <c r="B404" s="1">
        <f t="shared" si="24"/>
        <v>0</v>
      </c>
      <c r="C404" s="1" t="str">
        <f t="shared" si="23"/>
        <v>0</v>
      </c>
      <c r="D404" s="1">
        <f t="shared" si="25"/>
        <v>0</v>
      </c>
    </row>
    <row r="405" spans="2:4" ht="17.25" hidden="1" customHeight="1" x14ac:dyDescent="0.25">
      <c r="B405" s="1">
        <f t="shared" si="24"/>
        <v>0</v>
      </c>
      <c r="C405" s="1" t="str">
        <f t="shared" si="23"/>
        <v>0</v>
      </c>
      <c r="D405" s="1">
        <f t="shared" si="25"/>
        <v>0</v>
      </c>
    </row>
    <row r="406" spans="2:4" ht="17.25" hidden="1" customHeight="1" x14ac:dyDescent="0.25">
      <c r="B406" s="1">
        <f t="shared" si="24"/>
        <v>0</v>
      </c>
      <c r="C406" s="1" t="str">
        <f t="shared" si="23"/>
        <v>0</v>
      </c>
      <c r="D406" s="1">
        <f t="shared" si="25"/>
        <v>0</v>
      </c>
    </row>
    <row r="407" spans="2:4" ht="17.25" hidden="1" customHeight="1" x14ac:dyDescent="0.25">
      <c r="B407" s="1">
        <f t="shared" si="24"/>
        <v>0</v>
      </c>
      <c r="C407" s="1" t="str">
        <f t="shared" si="23"/>
        <v>0</v>
      </c>
      <c r="D407" s="1">
        <f t="shared" si="25"/>
        <v>0</v>
      </c>
    </row>
    <row r="408" spans="2:4" ht="17.25" hidden="1" customHeight="1" x14ac:dyDescent="0.25">
      <c r="B408" s="1">
        <f t="shared" si="24"/>
        <v>0</v>
      </c>
      <c r="C408" s="1" t="str">
        <f t="shared" si="23"/>
        <v>0</v>
      </c>
      <c r="D408" s="1">
        <f t="shared" si="25"/>
        <v>0</v>
      </c>
    </row>
    <row r="409" spans="2:4" ht="17.25" hidden="1" customHeight="1" x14ac:dyDescent="0.25">
      <c r="B409" s="1">
        <f t="shared" si="24"/>
        <v>0</v>
      </c>
      <c r="C409" s="1" t="str">
        <f t="shared" si="23"/>
        <v>0</v>
      </c>
      <c r="D409" s="1">
        <f t="shared" si="25"/>
        <v>0</v>
      </c>
    </row>
    <row r="410" spans="2:4" ht="17.25" hidden="1" customHeight="1" x14ac:dyDescent="0.25">
      <c r="B410" s="1">
        <f t="shared" si="24"/>
        <v>0</v>
      </c>
      <c r="C410" s="1" t="str">
        <f t="shared" si="23"/>
        <v>0</v>
      </c>
      <c r="D410" s="1">
        <f t="shared" si="25"/>
        <v>0</v>
      </c>
    </row>
    <row r="411" spans="2:4" ht="17.25" hidden="1" customHeight="1" x14ac:dyDescent="0.25">
      <c r="B411" s="1">
        <f t="shared" si="24"/>
        <v>0</v>
      </c>
      <c r="C411" s="1" t="str">
        <f t="shared" si="23"/>
        <v>0</v>
      </c>
      <c r="D411" s="1">
        <f t="shared" si="25"/>
        <v>0</v>
      </c>
    </row>
    <row r="412" spans="2:4" ht="17.25" hidden="1" customHeight="1" x14ac:dyDescent="0.25">
      <c r="B412" s="1">
        <f t="shared" si="24"/>
        <v>0</v>
      </c>
      <c r="C412" s="1" t="str">
        <f t="shared" si="23"/>
        <v>0</v>
      </c>
      <c r="D412" s="1">
        <f t="shared" si="25"/>
        <v>0</v>
      </c>
    </row>
    <row r="413" spans="2:4" ht="17.25" hidden="1" customHeight="1" x14ac:dyDescent="0.25">
      <c r="B413" s="1">
        <f t="shared" si="24"/>
        <v>0</v>
      </c>
      <c r="C413" s="1" t="str">
        <f t="shared" si="23"/>
        <v>0</v>
      </c>
      <c r="D413" s="1">
        <f t="shared" si="25"/>
        <v>0</v>
      </c>
    </row>
    <row r="414" spans="2:4" ht="17.25" hidden="1" customHeight="1" x14ac:dyDescent="0.25">
      <c r="B414" s="1">
        <f t="shared" si="24"/>
        <v>0</v>
      </c>
      <c r="C414" s="1" t="str">
        <f t="shared" si="23"/>
        <v>0</v>
      </c>
      <c r="D414" s="1">
        <f t="shared" si="25"/>
        <v>0</v>
      </c>
    </row>
    <row r="415" spans="2:4" ht="17.25" hidden="1" customHeight="1" x14ac:dyDescent="0.25">
      <c r="B415" s="1">
        <f t="shared" si="24"/>
        <v>0</v>
      </c>
      <c r="C415" s="1" t="str">
        <f t="shared" si="23"/>
        <v>0</v>
      </c>
      <c r="D415" s="1">
        <f t="shared" si="25"/>
        <v>0</v>
      </c>
    </row>
    <row r="416" spans="2:4" ht="17.25" hidden="1" customHeight="1" x14ac:dyDescent="0.25">
      <c r="B416" s="1">
        <f t="shared" si="24"/>
        <v>0</v>
      </c>
      <c r="C416" s="1" t="str">
        <f t="shared" si="23"/>
        <v>0</v>
      </c>
      <c r="D416" s="1">
        <f t="shared" si="25"/>
        <v>0</v>
      </c>
    </row>
    <row r="417" spans="2:4" ht="17.25" hidden="1" customHeight="1" x14ac:dyDescent="0.25">
      <c r="B417" s="1">
        <f t="shared" si="24"/>
        <v>0</v>
      </c>
      <c r="C417" s="1" t="str">
        <f t="shared" si="23"/>
        <v>0</v>
      </c>
      <c r="D417" s="1">
        <f t="shared" si="25"/>
        <v>0</v>
      </c>
    </row>
    <row r="418" spans="2:4" ht="17.25" hidden="1" customHeight="1" x14ac:dyDescent="0.25">
      <c r="B418" s="1">
        <f t="shared" si="24"/>
        <v>0</v>
      </c>
      <c r="C418" s="1" t="str">
        <f t="shared" si="23"/>
        <v>0</v>
      </c>
      <c r="D418" s="1">
        <f t="shared" si="25"/>
        <v>0</v>
      </c>
    </row>
    <row r="419" spans="2:4" ht="17.25" hidden="1" customHeight="1" x14ac:dyDescent="0.25">
      <c r="B419" s="1">
        <f t="shared" si="24"/>
        <v>0</v>
      </c>
      <c r="C419" s="1" t="str">
        <f t="shared" si="23"/>
        <v>0</v>
      </c>
      <c r="D419" s="1">
        <f t="shared" si="25"/>
        <v>0</v>
      </c>
    </row>
    <row r="420" spans="2:4" ht="17.25" hidden="1" customHeight="1" x14ac:dyDescent="0.25">
      <c r="B420" s="1">
        <f t="shared" si="24"/>
        <v>0</v>
      </c>
      <c r="C420" s="1" t="str">
        <f t="shared" si="23"/>
        <v>0</v>
      </c>
      <c r="D420" s="1">
        <f t="shared" si="25"/>
        <v>0</v>
      </c>
    </row>
    <row r="421" spans="2:4" ht="17.25" hidden="1" customHeight="1" x14ac:dyDescent="0.25">
      <c r="B421" s="1">
        <f t="shared" si="24"/>
        <v>0</v>
      </c>
      <c r="C421" s="1" t="str">
        <f t="shared" si="23"/>
        <v>0</v>
      </c>
      <c r="D421" s="1">
        <f t="shared" si="25"/>
        <v>0</v>
      </c>
    </row>
    <row r="422" spans="2:4" ht="17.25" hidden="1" customHeight="1" x14ac:dyDescent="0.25">
      <c r="B422" s="1">
        <f t="shared" si="24"/>
        <v>0</v>
      </c>
      <c r="C422" s="1" t="str">
        <f t="shared" si="23"/>
        <v>0</v>
      </c>
      <c r="D422" s="1">
        <f t="shared" si="25"/>
        <v>0</v>
      </c>
    </row>
    <row r="423" spans="2:4" ht="17.25" hidden="1" customHeight="1" x14ac:dyDescent="0.25">
      <c r="B423" s="1">
        <f t="shared" si="24"/>
        <v>0</v>
      </c>
      <c r="C423" s="1" t="str">
        <f t="shared" si="23"/>
        <v>0</v>
      </c>
      <c r="D423" s="1">
        <f t="shared" si="25"/>
        <v>0</v>
      </c>
    </row>
    <row r="424" spans="2:4" ht="17.25" hidden="1" customHeight="1" x14ac:dyDescent="0.25">
      <c r="B424" s="1">
        <f>AZ3</f>
        <v>0</v>
      </c>
      <c r="C424" s="1" t="str">
        <f t="shared" si="23"/>
        <v>0</v>
      </c>
      <c r="D424" s="1">
        <f t="shared" ref="D424" si="26">BB3</f>
        <v>0</v>
      </c>
    </row>
    <row r="425" spans="2:4" ht="17.25" hidden="1" customHeight="1" x14ac:dyDescent="0.25">
      <c r="B425" s="1">
        <f t="shared" ref="B425:B461" si="27">AZ4</f>
        <v>0</v>
      </c>
      <c r="C425" s="1" t="str">
        <f t="shared" si="23"/>
        <v>0</v>
      </c>
      <c r="D425" s="1">
        <f t="shared" ref="D425:D461" si="28">BB4</f>
        <v>0</v>
      </c>
    </row>
    <row r="426" spans="2:4" ht="17.25" hidden="1" customHeight="1" x14ac:dyDescent="0.25">
      <c r="B426" s="1">
        <f t="shared" si="27"/>
        <v>0</v>
      </c>
      <c r="C426" s="1" t="str">
        <f t="shared" si="23"/>
        <v>0</v>
      </c>
      <c r="D426" s="1">
        <f t="shared" si="28"/>
        <v>0</v>
      </c>
    </row>
    <row r="427" spans="2:4" ht="17.25" hidden="1" customHeight="1" x14ac:dyDescent="0.25">
      <c r="B427" s="1">
        <f t="shared" si="27"/>
        <v>0</v>
      </c>
      <c r="C427" s="1" t="str">
        <f t="shared" si="23"/>
        <v>0</v>
      </c>
      <c r="D427" s="1">
        <f t="shared" si="28"/>
        <v>0</v>
      </c>
    </row>
    <row r="428" spans="2:4" ht="17.25" hidden="1" customHeight="1" x14ac:dyDescent="0.25">
      <c r="B428" s="1">
        <f t="shared" si="27"/>
        <v>0</v>
      </c>
      <c r="C428" s="1" t="str">
        <f t="shared" si="23"/>
        <v>0</v>
      </c>
      <c r="D428" s="1">
        <f t="shared" si="28"/>
        <v>0</v>
      </c>
    </row>
    <row r="429" spans="2:4" ht="17.25" hidden="1" customHeight="1" x14ac:dyDescent="0.25">
      <c r="B429" s="1">
        <f t="shared" si="27"/>
        <v>0</v>
      </c>
      <c r="C429" s="1" t="str">
        <f t="shared" ref="C429:C492" si="29">LEFT(D429,3)</f>
        <v>0</v>
      </c>
      <c r="D429" s="1">
        <f t="shared" si="28"/>
        <v>0</v>
      </c>
    </row>
    <row r="430" spans="2:4" ht="17.25" hidden="1" customHeight="1" x14ac:dyDescent="0.25">
      <c r="B430" s="1">
        <f t="shared" si="27"/>
        <v>0</v>
      </c>
      <c r="C430" s="1" t="str">
        <f t="shared" si="29"/>
        <v>0</v>
      </c>
      <c r="D430" s="1">
        <f t="shared" si="28"/>
        <v>0</v>
      </c>
    </row>
    <row r="431" spans="2:4" ht="17.25" hidden="1" customHeight="1" x14ac:dyDescent="0.25">
      <c r="B431" s="1">
        <f t="shared" si="27"/>
        <v>0</v>
      </c>
      <c r="C431" s="1" t="str">
        <f t="shared" si="29"/>
        <v>0</v>
      </c>
      <c r="D431" s="1">
        <f t="shared" si="28"/>
        <v>0</v>
      </c>
    </row>
    <row r="432" spans="2:4" ht="17.25" hidden="1" customHeight="1" x14ac:dyDescent="0.25">
      <c r="B432" s="1">
        <f t="shared" si="27"/>
        <v>0</v>
      </c>
      <c r="C432" s="1" t="str">
        <f t="shared" si="29"/>
        <v>0</v>
      </c>
      <c r="D432" s="1">
        <f t="shared" si="28"/>
        <v>0</v>
      </c>
    </row>
    <row r="433" spans="2:4" ht="17.25" hidden="1" customHeight="1" x14ac:dyDescent="0.25">
      <c r="B433" s="1">
        <f t="shared" si="27"/>
        <v>0</v>
      </c>
      <c r="C433" s="1" t="str">
        <f t="shared" si="29"/>
        <v>0</v>
      </c>
      <c r="D433" s="1">
        <f t="shared" si="28"/>
        <v>0</v>
      </c>
    </row>
    <row r="434" spans="2:4" ht="17.25" hidden="1" customHeight="1" x14ac:dyDescent="0.25">
      <c r="B434" s="1">
        <f t="shared" si="27"/>
        <v>0</v>
      </c>
      <c r="C434" s="1" t="str">
        <f t="shared" si="29"/>
        <v>0</v>
      </c>
      <c r="D434" s="1">
        <f t="shared" si="28"/>
        <v>0</v>
      </c>
    </row>
    <row r="435" spans="2:4" ht="17.25" hidden="1" customHeight="1" x14ac:dyDescent="0.25">
      <c r="B435" s="1">
        <f t="shared" si="27"/>
        <v>0</v>
      </c>
      <c r="C435" s="1" t="str">
        <f t="shared" si="29"/>
        <v>0</v>
      </c>
      <c r="D435" s="1">
        <f t="shared" si="28"/>
        <v>0</v>
      </c>
    </row>
    <row r="436" spans="2:4" ht="17.25" hidden="1" customHeight="1" x14ac:dyDescent="0.25">
      <c r="B436" s="1">
        <f t="shared" si="27"/>
        <v>0</v>
      </c>
      <c r="C436" s="1" t="str">
        <f t="shared" si="29"/>
        <v>0</v>
      </c>
      <c r="D436" s="1">
        <f t="shared" si="28"/>
        <v>0</v>
      </c>
    </row>
    <row r="437" spans="2:4" ht="17.25" hidden="1" customHeight="1" x14ac:dyDescent="0.25">
      <c r="B437" s="1">
        <f t="shared" si="27"/>
        <v>0</v>
      </c>
      <c r="C437" s="1" t="str">
        <f t="shared" si="29"/>
        <v>0</v>
      </c>
      <c r="D437" s="1">
        <f t="shared" si="28"/>
        <v>0</v>
      </c>
    </row>
    <row r="438" spans="2:4" ht="17.25" hidden="1" customHeight="1" x14ac:dyDescent="0.25">
      <c r="B438" s="1">
        <f t="shared" si="27"/>
        <v>0</v>
      </c>
      <c r="C438" s="1" t="str">
        <f t="shared" si="29"/>
        <v>0</v>
      </c>
      <c r="D438" s="1">
        <f t="shared" si="28"/>
        <v>0</v>
      </c>
    </row>
    <row r="439" spans="2:4" ht="17.25" hidden="1" customHeight="1" x14ac:dyDescent="0.25">
      <c r="B439" s="1">
        <f t="shared" si="27"/>
        <v>0</v>
      </c>
      <c r="C439" s="1" t="str">
        <f t="shared" si="29"/>
        <v>0</v>
      </c>
      <c r="D439" s="1">
        <f t="shared" si="28"/>
        <v>0</v>
      </c>
    </row>
    <row r="440" spans="2:4" ht="17.25" hidden="1" customHeight="1" x14ac:dyDescent="0.25">
      <c r="B440" s="1">
        <f t="shared" si="27"/>
        <v>0</v>
      </c>
      <c r="C440" s="1" t="str">
        <f t="shared" si="29"/>
        <v>0</v>
      </c>
      <c r="D440" s="1">
        <f t="shared" si="28"/>
        <v>0</v>
      </c>
    </row>
    <row r="441" spans="2:4" ht="17.25" hidden="1" customHeight="1" x14ac:dyDescent="0.25">
      <c r="B441" s="1">
        <f t="shared" si="27"/>
        <v>0</v>
      </c>
      <c r="C441" s="1" t="str">
        <f t="shared" si="29"/>
        <v>0</v>
      </c>
      <c r="D441" s="1">
        <f t="shared" si="28"/>
        <v>0</v>
      </c>
    </row>
    <row r="442" spans="2:4" ht="17.25" hidden="1" customHeight="1" x14ac:dyDescent="0.25">
      <c r="B442" s="1">
        <f t="shared" si="27"/>
        <v>0</v>
      </c>
      <c r="C442" s="1" t="str">
        <f t="shared" si="29"/>
        <v>0</v>
      </c>
      <c r="D442" s="1">
        <f t="shared" si="28"/>
        <v>0</v>
      </c>
    </row>
    <row r="443" spans="2:4" ht="17.25" hidden="1" customHeight="1" x14ac:dyDescent="0.25">
      <c r="B443" s="1">
        <f t="shared" si="27"/>
        <v>0</v>
      </c>
      <c r="C443" s="1" t="str">
        <f t="shared" si="29"/>
        <v>0</v>
      </c>
      <c r="D443" s="1">
        <f t="shared" si="28"/>
        <v>0</v>
      </c>
    </row>
    <row r="444" spans="2:4" ht="17.25" hidden="1" customHeight="1" x14ac:dyDescent="0.25">
      <c r="B444" s="1">
        <f t="shared" si="27"/>
        <v>0</v>
      </c>
      <c r="C444" s="1" t="str">
        <f t="shared" si="29"/>
        <v>0</v>
      </c>
      <c r="D444" s="1">
        <f t="shared" si="28"/>
        <v>0</v>
      </c>
    </row>
    <row r="445" spans="2:4" ht="17.25" hidden="1" customHeight="1" x14ac:dyDescent="0.25">
      <c r="B445" s="1">
        <f t="shared" si="27"/>
        <v>0</v>
      </c>
      <c r="C445" s="1" t="str">
        <f t="shared" si="29"/>
        <v>0</v>
      </c>
      <c r="D445" s="1">
        <f t="shared" si="28"/>
        <v>0</v>
      </c>
    </row>
    <row r="446" spans="2:4" ht="17.25" hidden="1" customHeight="1" x14ac:dyDescent="0.25">
      <c r="B446" s="1">
        <f t="shared" si="27"/>
        <v>0</v>
      </c>
      <c r="C446" s="1" t="str">
        <f t="shared" si="29"/>
        <v>0</v>
      </c>
      <c r="D446" s="1">
        <f t="shared" si="28"/>
        <v>0</v>
      </c>
    </row>
    <row r="447" spans="2:4" ht="17.25" hidden="1" customHeight="1" x14ac:dyDescent="0.25">
      <c r="B447" s="1">
        <f t="shared" si="27"/>
        <v>0</v>
      </c>
      <c r="C447" s="1" t="str">
        <f t="shared" si="29"/>
        <v>0</v>
      </c>
      <c r="D447" s="1">
        <f t="shared" si="28"/>
        <v>0</v>
      </c>
    </row>
    <row r="448" spans="2:4" ht="17.25" hidden="1" customHeight="1" x14ac:dyDescent="0.25">
      <c r="B448" s="1">
        <f t="shared" si="27"/>
        <v>0</v>
      </c>
      <c r="C448" s="1" t="str">
        <f t="shared" si="29"/>
        <v>0</v>
      </c>
      <c r="D448" s="1">
        <f t="shared" si="28"/>
        <v>0</v>
      </c>
    </row>
    <row r="449" spans="2:4" ht="17.25" hidden="1" customHeight="1" x14ac:dyDescent="0.25">
      <c r="B449" s="1">
        <f t="shared" si="27"/>
        <v>0</v>
      </c>
      <c r="C449" s="1" t="str">
        <f t="shared" si="29"/>
        <v>0</v>
      </c>
      <c r="D449" s="1">
        <f t="shared" si="28"/>
        <v>0</v>
      </c>
    </row>
    <row r="450" spans="2:4" ht="17.25" hidden="1" customHeight="1" x14ac:dyDescent="0.25">
      <c r="B450" s="1">
        <f t="shared" si="27"/>
        <v>0</v>
      </c>
      <c r="C450" s="1" t="str">
        <f t="shared" si="29"/>
        <v>0</v>
      </c>
      <c r="D450" s="1">
        <f t="shared" si="28"/>
        <v>0</v>
      </c>
    </row>
    <row r="451" spans="2:4" ht="17.25" hidden="1" customHeight="1" x14ac:dyDescent="0.25">
      <c r="B451" s="1">
        <f t="shared" si="27"/>
        <v>0</v>
      </c>
      <c r="C451" s="1" t="str">
        <f t="shared" si="29"/>
        <v>0</v>
      </c>
      <c r="D451" s="1">
        <f t="shared" si="28"/>
        <v>0</v>
      </c>
    </row>
    <row r="452" spans="2:4" ht="17.25" hidden="1" customHeight="1" x14ac:dyDescent="0.25">
      <c r="B452" s="1">
        <f t="shared" si="27"/>
        <v>0</v>
      </c>
      <c r="C452" s="1" t="str">
        <f t="shared" si="29"/>
        <v>0</v>
      </c>
      <c r="D452" s="1">
        <f t="shared" si="28"/>
        <v>0</v>
      </c>
    </row>
    <row r="453" spans="2:4" ht="17.25" hidden="1" customHeight="1" x14ac:dyDescent="0.25">
      <c r="B453" s="1">
        <f t="shared" si="27"/>
        <v>0</v>
      </c>
      <c r="C453" s="1" t="str">
        <f t="shared" si="29"/>
        <v>0</v>
      </c>
      <c r="D453" s="1">
        <f t="shared" si="28"/>
        <v>0</v>
      </c>
    </row>
    <row r="454" spans="2:4" ht="17.25" hidden="1" customHeight="1" x14ac:dyDescent="0.25">
      <c r="B454" s="1">
        <f t="shared" si="27"/>
        <v>0</v>
      </c>
      <c r="C454" s="1" t="str">
        <f t="shared" si="29"/>
        <v>0</v>
      </c>
      <c r="D454" s="1">
        <f t="shared" si="28"/>
        <v>0</v>
      </c>
    </row>
    <row r="455" spans="2:4" ht="17.25" hidden="1" customHeight="1" x14ac:dyDescent="0.25">
      <c r="B455" s="1">
        <f t="shared" si="27"/>
        <v>0</v>
      </c>
      <c r="C455" s="1" t="str">
        <f t="shared" si="29"/>
        <v>0</v>
      </c>
      <c r="D455" s="1">
        <f t="shared" si="28"/>
        <v>0</v>
      </c>
    </row>
    <row r="456" spans="2:4" ht="17.25" hidden="1" customHeight="1" x14ac:dyDescent="0.25">
      <c r="B456" s="1">
        <f t="shared" si="27"/>
        <v>0</v>
      </c>
      <c r="C456" s="1" t="str">
        <f t="shared" si="29"/>
        <v>0</v>
      </c>
      <c r="D456" s="1">
        <f t="shared" si="28"/>
        <v>0</v>
      </c>
    </row>
    <row r="457" spans="2:4" ht="17.25" hidden="1" customHeight="1" x14ac:dyDescent="0.25">
      <c r="B457" s="1">
        <f t="shared" si="27"/>
        <v>0</v>
      </c>
      <c r="C457" s="1" t="str">
        <f t="shared" si="29"/>
        <v>0</v>
      </c>
      <c r="D457" s="1">
        <f t="shared" si="28"/>
        <v>0</v>
      </c>
    </row>
    <row r="458" spans="2:4" ht="17.25" hidden="1" customHeight="1" x14ac:dyDescent="0.25">
      <c r="B458" s="1">
        <f t="shared" si="27"/>
        <v>0</v>
      </c>
      <c r="C458" s="1" t="str">
        <f t="shared" si="29"/>
        <v>0</v>
      </c>
      <c r="D458" s="1">
        <f t="shared" si="28"/>
        <v>0</v>
      </c>
    </row>
    <row r="459" spans="2:4" ht="17.25" hidden="1" customHeight="1" x14ac:dyDescent="0.25">
      <c r="B459" s="1">
        <f t="shared" si="27"/>
        <v>0</v>
      </c>
      <c r="C459" s="1" t="str">
        <f t="shared" si="29"/>
        <v>0</v>
      </c>
      <c r="D459" s="1">
        <f t="shared" si="28"/>
        <v>0</v>
      </c>
    </row>
    <row r="460" spans="2:4" ht="17.25" hidden="1" customHeight="1" x14ac:dyDescent="0.25">
      <c r="B460" s="1">
        <f t="shared" si="27"/>
        <v>0</v>
      </c>
      <c r="C460" s="1" t="str">
        <f t="shared" si="29"/>
        <v>0</v>
      </c>
      <c r="D460" s="1">
        <f t="shared" si="28"/>
        <v>0</v>
      </c>
    </row>
    <row r="461" spans="2:4" ht="17.25" hidden="1" customHeight="1" x14ac:dyDescent="0.25">
      <c r="B461" s="1">
        <f t="shared" si="27"/>
        <v>0</v>
      </c>
      <c r="C461" s="1" t="str">
        <f t="shared" si="29"/>
        <v>0</v>
      </c>
      <c r="D461" s="1">
        <f t="shared" si="28"/>
        <v>0</v>
      </c>
    </row>
    <row r="462" spans="2:4" ht="17.25" hidden="1" customHeight="1" x14ac:dyDescent="0.25">
      <c r="B462" s="1">
        <f>BE3</f>
        <v>0</v>
      </c>
      <c r="C462" s="1" t="str">
        <f t="shared" si="29"/>
        <v>0</v>
      </c>
      <c r="D462" s="1">
        <f t="shared" ref="D462" si="30">BG3</f>
        <v>0</v>
      </c>
    </row>
    <row r="463" spans="2:4" ht="17.25" hidden="1" customHeight="1" x14ac:dyDescent="0.25">
      <c r="B463" s="1">
        <f t="shared" ref="B463:B499" si="31">BE4</f>
        <v>0</v>
      </c>
      <c r="C463" s="1" t="str">
        <f t="shared" si="29"/>
        <v>0</v>
      </c>
      <c r="D463" s="1">
        <f t="shared" ref="D463:D499" si="32">BG4</f>
        <v>0</v>
      </c>
    </row>
    <row r="464" spans="2:4" ht="17.25" hidden="1" customHeight="1" x14ac:dyDescent="0.25">
      <c r="B464" s="1">
        <f t="shared" si="31"/>
        <v>0</v>
      </c>
      <c r="C464" s="1" t="str">
        <f t="shared" si="29"/>
        <v>0</v>
      </c>
      <c r="D464" s="1">
        <f t="shared" si="32"/>
        <v>0</v>
      </c>
    </row>
    <row r="465" spans="2:4" ht="17.25" hidden="1" customHeight="1" x14ac:dyDescent="0.25">
      <c r="B465" s="1">
        <f t="shared" si="31"/>
        <v>0</v>
      </c>
      <c r="C465" s="1" t="str">
        <f t="shared" si="29"/>
        <v>0</v>
      </c>
      <c r="D465" s="1">
        <f t="shared" si="32"/>
        <v>0</v>
      </c>
    </row>
    <row r="466" spans="2:4" ht="17.25" hidden="1" customHeight="1" x14ac:dyDescent="0.25">
      <c r="B466" s="1">
        <f t="shared" si="31"/>
        <v>0</v>
      </c>
      <c r="C466" s="1" t="str">
        <f t="shared" si="29"/>
        <v>0</v>
      </c>
      <c r="D466" s="1">
        <f t="shared" si="32"/>
        <v>0</v>
      </c>
    </row>
    <row r="467" spans="2:4" ht="17.25" hidden="1" customHeight="1" x14ac:dyDescent="0.25">
      <c r="B467" s="1">
        <f t="shared" si="31"/>
        <v>0</v>
      </c>
      <c r="C467" s="1" t="str">
        <f t="shared" si="29"/>
        <v>0</v>
      </c>
      <c r="D467" s="1">
        <f t="shared" si="32"/>
        <v>0</v>
      </c>
    </row>
    <row r="468" spans="2:4" ht="17.25" hidden="1" customHeight="1" x14ac:dyDescent="0.25">
      <c r="B468" s="1">
        <f t="shared" si="31"/>
        <v>0</v>
      </c>
      <c r="C468" s="1" t="str">
        <f t="shared" si="29"/>
        <v>0</v>
      </c>
      <c r="D468" s="1">
        <f t="shared" si="32"/>
        <v>0</v>
      </c>
    </row>
    <row r="469" spans="2:4" ht="17.25" hidden="1" customHeight="1" x14ac:dyDescent="0.25">
      <c r="B469" s="1">
        <f t="shared" si="31"/>
        <v>0</v>
      </c>
      <c r="C469" s="1" t="str">
        <f t="shared" si="29"/>
        <v>0</v>
      </c>
      <c r="D469" s="1">
        <f t="shared" si="32"/>
        <v>0</v>
      </c>
    </row>
    <row r="470" spans="2:4" ht="17.25" hidden="1" customHeight="1" x14ac:dyDescent="0.25">
      <c r="B470" s="1">
        <f t="shared" si="31"/>
        <v>0</v>
      </c>
      <c r="C470" s="1" t="str">
        <f t="shared" si="29"/>
        <v>0</v>
      </c>
      <c r="D470" s="1">
        <f t="shared" si="32"/>
        <v>0</v>
      </c>
    </row>
    <row r="471" spans="2:4" ht="17.25" hidden="1" customHeight="1" x14ac:dyDescent="0.25">
      <c r="B471" s="1">
        <f t="shared" si="31"/>
        <v>0</v>
      </c>
      <c r="C471" s="1" t="str">
        <f t="shared" si="29"/>
        <v>0</v>
      </c>
      <c r="D471" s="1">
        <f t="shared" si="32"/>
        <v>0</v>
      </c>
    </row>
    <row r="472" spans="2:4" ht="17.25" hidden="1" customHeight="1" x14ac:dyDescent="0.25">
      <c r="B472" s="1">
        <f t="shared" si="31"/>
        <v>0</v>
      </c>
      <c r="C472" s="1" t="str">
        <f t="shared" si="29"/>
        <v>0</v>
      </c>
      <c r="D472" s="1">
        <f t="shared" si="32"/>
        <v>0</v>
      </c>
    </row>
    <row r="473" spans="2:4" ht="17.25" hidden="1" customHeight="1" x14ac:dyDescent="0.25">
      <c r="B473" s="1">
        <f t="shared" si="31"/>
        <v>0</v>
      </c>
      <c r="C473" s="1" t="str">
        <f t="shared" si="29"/>
        <v>0</v>
      </c>
      <c r="D473" s="1">
        <f t="shared" si="32"/>
        <v>0</v>
      </c>
    </row>
    <row r="474" spans="2:4" ht="17.25" hidden="1" customHeight="1" x14ac:dyDescent="0.25">
      <c r="B474" s="1">
        <f t="shared" si="31"/>
        <v>0</v>
      </c>
      <c r="C474" s="1" t="str">
        <f t="shared" si="29"/>
        <v>0</v>
      </c>
      <c r="D474" s="1">
        <f t="shared" si="32"/>
        <v>0</v>
      </c>
    </row>
    <row r="475" spans="2:4" ht="17.25" hidden="1" customHeight="1" x14ac:dyDescent="0.25">
      <c r="B475" s="1">
        <f t="shared" si="31"/>
        <v>0</v>
      </c>
      <c r="C475" s="1" t="str">
        <f t="shared" si="29"/>
        <v>0</v>
      </c>
      <c r="D475" s="1">
        <f t="shared" si="32"/>
        <v>0</v>
      </c>
    </row>
    <row r="476" spans="2:4" ht="17.25" hidden="1" customHeight="1" x14ac:dyDescent="0.25">
      <c r="B476" s="1">
        <f t="shared" si="31"/>
        <v>0</v>
      </c>
      <c r="C476" s="1" t="str">
        <f t="shared" si="29"/>
        <v>0</v>
      </c>
      <c r="D476" s="1">
        <f t="shared" si="32"/>
        <v>0</v>
      </c>
    </row>
    <row r="477" spans="2:4" ht="17.25" hidden="1" customHeight="1" x14ac:dyDescent="0.25">
      <c r="B477" s="1">
        <f t="shared" si="31"/>
        <v>0</v>
      </c>
      <c r="C477" s="1" t="str">
        <f t="shared" si="29"/>
        <v>0</v>
      </c>
      <c r="D477" s="1">
        <f t="shared" si="32"/>
        <v>0</v>
      </c>
    </row>
    <row r="478" spans="2:4" ht="17.25" hidden="1" customHeight="1" x14ac:dyDescent="0.25">
      <c r="B478" s="1">
        <f t="shared" si="31"/>
        <v>0</v>
      </c>
      <c r="C478" s="1" t="str">
        <f t="shared" si="29"/>
        <v>0</v>
      </c>
      <c r="D478" s="1">
        <f t="shared" si="32"/>
        <v>0</v>
      </c>
    </row>
    <row r="479" spans="2:4" ht="17.25" hidden="1" customHeight="1" x14ac:dyDescent="0.25">
      <c r="B479" s="1">
        <f t="shared" si="31"/>
        <v>0</v>
      </c>
      <c r="C479" s="1" t="str">
        <f t="shared" si="29"/>
        <v>0</v>
      </c>
      <c r="D479" s="1">
        <f t="shared" si="32"/>
        <v>0</v>
      </c>
    </row>
    <row r="480" spans="2:4" ht="17.25" hidden="1" customHeight="1" x14ac:dyDescent="0.25">
      <c r="B480" s="1">
        <f t="shared" si="31"/>
        <v>0</v>
      </c>
      <c r="C480" s="1" t="str">
        <f t="shared" si="29"/>
        <v>0</v>
      </c>
      <c r="D480" s="1">
        <f t="shared" si="32"/>
        <v>0</v>
      </c>
    </row>
    <row r="481" spans="2:4" ht="17.25" hidden="1" customHeight="1" x14ac:dyDescent="0.25">
      <c r="B481" s="1">
        <f t="shared" si="31"/>
        <v>0</v>
      </c>
      <c r="C481" s="1" t="str">
        <f t="shared" si="29"/>
        <v>0</v>
      </c>
      <c r="D481" s="1">
        <f t="shared" si="32"/>
        <v>0</v>
      </c>
    </row>
    <row r="482" spans="2:4" ht="17.25" hidden="1" customHeight="1" x14ac:dyDescent="0.25">
      <c r="B482" s="1">
        <f t="shared" si="31"/>
        <v>0</v>
      </c>
      <c r="C482" s="1" t="str">
        <f t="shared" si="29"/>
        <v>0</v>
      </c>
      <c r="D482" s="1">
        <f t="shared" si="32"/>
        <v>0</v>
      </c>
    </row>
    <row r="483" spans="2:4" ht="17.25" hidden="1" customHeight="1" x14ac:dyDescent="0.25">
      <c r="B483" s="1">
        <f t="shared" si="31"/>
        <v>0</v>
      </c>
      <c r="C483" s="1" t="str">
        <f t="shared" si="29"/>
        <v>0</v>
      </c>
      <c r="D483" s="1">
        <f t="shared" si="32"/>
        <v>0</v>
      </c>
    </row>
    <row r="484" spans="2:4" ht="17.25" hidden="1" customHeight="1" x14ac:dyDescent="0.25">
      <c r="B484" s="1">
        <f t="shared" si="31"/>
        <v>0</v>
      </c>
      <c r="C484" s="1" t="str">
        <f t="shared" si="29"/>
        <v>0</v>
      </c>
      <c r="D484" s="1">
        <f t="shared" si="32"/>
        <v>0</v>
      </c>
    </row>
    <row r="485" spans="2:4" ht="17.25" hidden="1" customHeight="1" x14ac:dyDescent="0.25">
      <c r="B485" s="1">
        <f t="shared" si="31"/>
        <v>0</v>
      </c>
      <c r="C485" s="1" t="str">
        <f t="shared" si="29"/>
        <v>0</v>
      </c>
      <c r="D485" s="1">
        <f t="shared" si="32"/>
        <v>0</v>
      </c>
    </row>
    <row r="486" spans="2:4" ht="17.25" hidden="1" customHeight="1" x14ac:dyDescent="0.25">
      <c r="B486" s="1">
        <f t="shared" si="31"/>
        <v>0</v>
      </c>
      <c r="C486" s="1" t="str">
        <f t="shared" si="29"/>
        <v>0</v>
      </c>
      <c r="D486" s="1">
        <f t="shared" si="32"/>
        <v>0</v>
      </c>
    </row>
    <row r="487" spans="2:4" ht="17.25" hidden="1" customHeight="1" x14ac:dyDescent="0.25">
      <c r="B487" s="1">
        <f t="shared" si="31"/>
        <v>0</v>
      </c>
      <c r="C487" s="1" t="str">
        <f t="shared" si="29"/>
        <v>0</v>
      </c>
      <c r="D487" s="1">
        <f t="shared" si="32"/>
        <v>0</v>
      </c>
    </row>
    <row r="488" spans="2:4" ht="17.25" hidden="1" customHeight="1" x14ac:dyDescent="0.25">
      <c r="B488" s="1">
        <f t="shared" si="31"/>
        <v>0</v>
      </c>
      <c r="C488" s="1" t="str">
        <f t="shared" si="29"/>
        <v>0</v>
      </c>
      <c r="D488" s="1">
        <f t="shared" si="32"/>
        <v>0</v>
      </c>
    </row>
    <row r="489" spans="2:4" ht="17.25" hidden="1" customHeight="1" x14ac:dyDescent="0.25">
      <c r="B489" s="1">
        <f t="shared" si="31"/>
        <v>0</v>
      </c>
      <c r="C489" s="1" t="str">
        <f t="shared" si="29"/>
        <v>0</v>
      </c>
      <c r="D489" s="1">
        <f t="shared" si="32"/>
        <v>0</v>
      </c>
    </row>
    <row r="490" spans="2:4" ht="17.25" hidden="1" customHeight="1" x14ac:dyDescent="0.25">
      <c r="B490" s="1">
        <f t="shared" si="31"/>
        <v>0</v>
      </c>
      <c r="C490" s="1" t="str">
        <f t="shared" si="29"/>
        <v>0</v>
      </c>
      <c r="D490" s="1">
        <f t="shared" si="32"/>
        <v>0</v>
      </c>
    </row>
    <row r="491" spans="2:4" ht="17.25" hidden="1" customHeight="1" x14ac:dyDescent="0.25">
      <c r="B491" s="1">
        <f t="shared" si="31"/>
        <v>0</v>
      </c>
      <c r="C491" s="1" t="str">
        <f t="shared" si="29"/>
        <v>0</v>
      </c>
      <c r="D491" s="1">
        <f t="shared" si="32"/>
        <v>0</v>
      </c>
    </row>
    <row r="492" spans="2:4" ht="17.25" hidden="1" customHeight="1" x14ac:dyDescent="0.25">
      <c r="B492" s="1">
        <f t="shared" si="31"/>
        <v>0</v>
      </c>
      <c r="C492" s="1" t="str">
        <f t="shared" si="29"/>
        <v>0</v>
      </c>
      <c r="D492" s="1">
        <f t="shared" si="32"/>
        <v>0</v>
      </c>
    </row>
    <row r="493" spans="2:4" ht="17.25" hidden="1" customHeight="1" x14ac:dyDescent="0.25">
      <c r="B493" s="1">
        <f t="shared" si="31"/>
        <v>0</v>
      </c>
      <c r="C493" s="1" t="str">
        <f t="shared" ref="C493:C537" si="33">LEFT(D493,3)</f>
        <v>0</v>
      </c>
      <c r="D493" s="1">
        <f t="shared" si="32"/>
        <v>0</v>
      </c>
    </row>
    <row r="494" spans="2:4" ht="17.25" hidden="1" customHeight="1" x14ac:dyDescent="0.25">
      <c r="B494" s="1">
        <f t="shared" si="31"/>
        <v>0</v>
      </c>
      <c r="C494" s="1" t="str">
        <f t="shared" si="33"/>
        <v>0</v>
      </c>
      <c r="D494" s="1">
        <f t="shared" si="32"/>
        <v>0</v>
      </c>
    </row>
    <row r="495" spans="2:4" ht="17.25" hidden="1" customHeight="1" x14ac:dyDescent="0.25">
      <c r="B495" s="1">
        <f t="shared" si="31"/>
        <v>0</v>
      </c>
      <c r="C495" s="1" t="str">
        <f t="shared" si="33"/>
        <v>0</v>
      </c>
      <c r="D495" s="1">
        <f t="shared" si="32"/>
        <v>0</v>
      </c>
    </row>
    <row r="496" spans="2:4" ht="17.25" hidden="1" customHeight="1" x14ac:dyDescent="0.25">
      <c r="B496" s="1">
        <f t="shared" si="31"/>
        <v>0</v>
      </c>
      <c r="C496" s="1" t="str">
        <f t="shared" si="33"/>
        <v>0</v>
      </c>
      <c r="D496" s="1">
        <f t="shared" si="32"/>
        <v>0</v>
      </c>
    </row>
    <row r="497" spans="2:4" ht="17.25" hidden="1" customHeight="1" x14ac:dyDescent="0.25">
      <c r="B497" s="1">
        <f t="shared" si="31"/>
        <v>0</v>
      </c>
      <c r="C497" s="1" t="str">
        <f t="shared" si="33"/>
        <v>0</v>
      </c>
      <c r="D497" s="1">
        <f t="shared" si="32"/>
        <v>0</v>
      </c>
    </row>
    <row r="498" spans="2:4" ht="17.25" hidden="1" customHeight="1" x14ac:dyDescent="0.25">
      <c r="B498" s="1">
        <f t="shared" si="31"/>
        <v>0</v>
      </c>
      <c r="C498" s="1" t="str">
        <f t="shared" si="33"/>
        <v>0</v>
      </c>
      <c r="D498" s="1">
        <f t="shared" si="32"/>
        <v>0</v>
      </c>
    </row>
    <row r="499" spans="2:4" ht="17.25" hidden="1" customHeight="1" x14ac:dyDescent="0.25">
      <c r="B499" s="1">
        <f t="shared" si="31"/>
        <v>0</v>
      </c>
      <c r="C499" s="1" t="str">
        <f t="shared" si="33"/>
        <v>0</v>
      </c>
      <c r="D499" s="1">
        <f t="shared" si="32"/>
        <v>0</v>
      </c>
    </row>
    <row r="500" spans="2:4" ht="17.25" hidden="1" customHeight="1" x14ac:dyDescent="0.25">
      <c r="B500" s="1">
        <f>BJ3</f>
        <v>0</v>
      </c>
      <c r="C500" s="1" t="str">
        <f t="shared" si="33"/>
        <v>0</v>
      </c>
      <c r="D500" s="1">
        <f t="shared" ref="D500" si="34">BL3</f>
        <v>0</v>
      </c>
    </row>
    <row r="501" spans="2:4" ht="17.25" hidden="1" customHeight="1" x14ac:dyDescent="0.25">
      <c r="B501" s="1">
        <f t="shared" ref="B501:B537" si="35">BJ4</f>
        <v>0</v>
      </c>
      <c r="C501" s="1" t="str">
        <f t="shared" si="33"/>
        <v>0</v>
      </c>
      <c r="D501" s="1">
        <f t="shared" ref="D501:D537" si="36">BL4</f>
        <v>0</v>
      </c>
    </row>
    <row r="502" spans="2:4" ht="17.25" hidden="1" customHeight="1" x14ac:dyDescent="0.25">
      <c r="B502" s="1">
        <f t="shared" si="35"/>
        <v>0</v>
      </c>
      <c r="C502" s="1" t="str">
        <f t="shared" si="33"/>
        <v>0</v>
      </c>
      <c r="D502" s="1">
        <f t="shared" si="36"/>
        <v>0</v>
      </c>
    </row>
    <row r="503" spans="2:4" ht="17.25" hidden="1" customHeight="1" x14ac:dyDescent="0.25">
      <c r="B503" s="1">
        <f t="shared" si="35"/>
        <v>0</v>
      </c>
      <c r="C503" s="1" t="str">
        <f t="shared" si="33"/>
        <v>0</v>
      </c>
      <c r="D503" s="1">
        <f t="shared" si="36"/>
        <v>0</v>
      </c>
    </row>
    <row r="504" spans="2:4" ht="17.25" hidden="1" customHeight="1" x14ac:dyDescent="0.25">
      <c r="B504" s="1">
        <f t="shared" si="35"/>
        <v>0</v>
      </c>
      <c r="C504" s="1" t="str">
        <f t="shared" si="33"/>
        <v>0</v>
      </c>
      <c r="D504" s="1">
        <f t="shared" si="36"/>
        <v>0</v>
      </c>
    </row>
    <row r="505" spans="2:4" ht="17.25" hidden="1" customHeight="1" x14ac:dyDescent="0.25">
      <c r="B505" s="1">
        <f t="shared" si="35"/>
        <v>0</v>
      </c>
      <c r="C505" s="1" t="str">
        <f t="shared" si="33"/>
        <v>0</v>
      </c>
      <c r="D505" s="1">
        <f t="shared" si="36"/>
        <v>0</v>
      </c>
    </row>
    <row r="506" spans="2:4" ht="17.25" hidden="1" customHeight="1" x14ac:dyDescent="0.25">
      <c r="B506" s="1">
        <f t="shared" si="35"/>
        <v>0</v>
      </c>
      <c r="C506" s="1" t="str">
        <f t="shared" si="33"/>
        <v>0</v>
      </c>
      <c r="D506" s="1">
        <f t="shared" si="36"/>
        <v>0</v>
      </c>
    </row>
    <row r="507" spans="2:4" ht="17.25" hidden="1" customHeight="1" x14ac:dyDescent="0.25">
      <c r="B507" s="1">
        <f t="shared" si="35"/>
        <v>0</v>
      </c>
      <c r="C507" s="1" t="str">
        <f t="shared" si="33"/>
        <v>0</v>
      </c>
      <c r="D507" s="1">
        <f t="shared" si="36"/>
        <v>0</v>
      </c>
    </row>
    <row r="508" spans="2:4" ht="17.25" hidden="1" customHeight="1" x14ac:dyDescent="0.25">
      <c r="B508" s="1">
        <f t="shared" si="35"/>
        <v>0</v>
      </c>
      <c r="C508" s="1" t="str">
        <f t="shared" si="33"/>
        <v>0</v>
      </c>
      <c r="D508" s="1">
        <f t="shared" si="36"/>
        <v>0</v>
      </c>
    </row>
    <row r="509" spans="2:4" ht="17.25" hidden="1" customHeight="1" x14ac:dyDescent="0.25">
      <c r="B509" s="1">
        <f t="shared" si="35"/>
        <v>0</v>
      </c>
      <c r="C509" s="1" t="str">
        <f t="shared" si="33"/>
        <v>0</v>
      </c>
      <c r="D509" s="1">
        <f t="shared" si="36"/>
        <v>0</v>
      </c>
    </row>
    <row r="510" spans="2:4" ht="17.25" hidden="1" customHeight="1" x14ac:dyDescent="0.25">
      <c r="B510" s="1">
        <f t="shared" si="35"/>
        <v>0</v>
      </c>
      <c r="C510" s="1" t="str">
        <f t="shared" si="33"/>
        <v>0</v>
      </c>
      <c r="D510" s="1">
        <f t="shared" si="36"/>
        <v>0</v>
      </c>
    </row>
    <row r="511" spans="2:4" ht="17.25" hidden="1" customHeight="1" x14ac:dyDescent="0.25">
      <c r="B511" s="1">
        <f t="shared" si="35"/>
        <v>0</v>
      </c>
      <c r="C511" s="1" t="str">
        <f t="shared" si="33"/>
        <v>0</v>
      </c>
      <c r="D511" s="1">
        <f t="shared" si="36"/>
        <v>0</v>
      </c>
    </row>
    <row r="512" spans="2:4" ht="17.25" hidden="1" customHeight="1" x14ac:dyDescent="0.25">
      <c r="B512" s="1">
        <f t="shared" si="35"/>
        <v>0</v>
      </c>
      <c r="C512" s="1" t="str">
        <f t="shared" si="33"/>
        <v>0</v>
      </c>
      <c r="D512" s="1">
        <f t="shared" si="36"/>
        <v>0</v>
      </c>
    </row>
    <row r="513" spans="2:4" ht="17.25" hidden="1" customHeight="1" x14ac:dyDescent="0.25">
      <c r="B513" s="1">
        <f t="shared" si="35"/>
        <v>0</v>
      </c>
      <c r="C513" s="1" t="str">
        <f t="shared" si="33"/>
        <v>0</v>
      </c>
      <c r="D513" s="1">
        <f t="shared" si="36"/>
        <v>0</v>
      </c>
    </row>
    <row r="514" spans="2:4" ht="17.25" hidden="1" customHeight="1" x14ac:dyDescent="0.25">
      <c r="B514" s="1">
        <f t="shared" si="35"/>
        <v>0</v>
      </c>
      <c r="C514" s="1" t="str">
        <f t="shared" si="33"/>
        <v>0</v>
      </c>
      <c r="D514" s="1">
        <f t="shared" si="36"/>
        <v>0</v>
      </c>
    </row>
    <row r="515" spans="2:4" ht="17.25" hidden="1" customHeight="1" x14ac:dyDescent="0.25">
      <c r="B515" s="1">
        <f t="shared" si="35"/>
        <v>0</v>
      </c>
      <c r="C515" s="1" t="str">
        <f t="shared" si="33"/>
        <v>0</v>
      </c>
      <c r="D515" s="1">
        <f t="shared" si="36"/>
        <v>0</v>
      </c>
    </row>
    <row r="516" spans="2:4" ht="17.25" hidden="1" customHeight="1" x14ac:dyDescent="0.25">
      <c r="B516" s="1">
        <f t="shared" si="35"/>
        <v>0</v>
      </c>
      <c r="C516" s="1" t="str">
        <f t="shared" si="33"/>
        <v>0</v>
      </c>
      <c r="D516" s="1">
        <f t="shared" si="36"/>
        <v>0</v>
      </c>
    </row>
    <row r="517" spans="2:4" ht="17.25" hidden="1" customHeight="1" x14ac:dyDescent="0.25">
      <c r="B517" s="1">
        <f t="shared" si="35"/>
        <v>0</v>
      </c>
      <c r="C517" s="1" t="str">
        <f t="shared" si="33"/>
        <v>0</v>
      </c>
      <c r="D517" s="1">
        <f t="shared" si="36"/>
        <v>0</v>
      </c>
    </row>
    <row r="518" spans="2:4" ht="17.25" hidden="1" customHeight="1" x14ac:dyDescent="0.25">
      <c r="B518" s="1">
        <f t="shared" si="35"/>
        <v>0</v>
      </c>
      <c r="C518" s="1" t="str">
        <f t="shared" si="33"/>
        <v>0</v>
      </c>
      <c r="D518" s="1">
        <f t="shared" si="36"/>
        <v>0</v>
      </c>
    </row>
    <row r="519" spans="2:4" ht="17.25" hidden="1" customHeight="1" x14ac:dyDescent="0.25">
      <c r="B519" s="1">
        <f t="shared" si="35"/>
        <v>0</v>
      </c>
      <c r="C519" s="1" t="str">
        <f t="shared" si="33"/>
        <v>0</v>
      </c>
      <c r="D519" s="1">
        <f t="shared" si="36"/>
        <v>0</v>
      </c>
    </row>
    <row r="520" spans="2:4" ht="17.25" hidden="1" customHeight="1" x14ac:dyDescent="0.25">
      <c r="B520" s="1">
        <f t="shared" si="35"/>
        <v>0</v>
      </c>
      <c r="C520" s="1" t="str">
        <f t="shared" si="33"/>
        <v>0</v>
      </c>
      <c r="D520" s="1">
        <f t="shared" si="36"/>
        <v>0</v>
      </c>
    </row>
    <row r="521" spans="2:4" ht="17.25" hidden="1" customHeight="1" x14ac:dyDescent="0.25">
      <c r="B521" s="1">
        <f t="shared" si="35"/>
        <v>0</v>
      </c>
      <c r="C521" s="1" t="str">
        <f t="shared" si="33"/>
        <v>0</v>
      </c>
      <c r="D521" s="1">
        <f t="shared" si="36"/>
        <v>0</v>
      </c>
    </row>
    <row r="522" spans="2:4" ht="17.25" hidden="1" customHeight="1" x14ac:dyDescent="0.25">
      <c r="B522" s="1">
        <f t="shared" si="35"/>
        <v>0</v>
      </c>
      <c r="C522" s="1" t="str">
        <f t="shared" si="33"/>
        <v>0</v>
      </c>
      <c r="D522" s="1">
        <f t="shared" si="36"/>
        <v>0</v>
      </c>
    </row>
    <row r="523" spans="2:4" ht="17.25" hidden="1" customHeight="1" x14ac:dyDescent="0.25">
      <c r="B523" s="1">
        <f t="shared" si="35"/>
        <v>0</v>
      </c>
      <c r="C523" s="1" t="str">
        <f t="shared" si="33"/>
        <v>0</v>
      </c>
      <c r="D523" s="1">
        <f t="shared" si="36"/>
        <v>0</v>
      </c>
    </row>
    <row r="524" spans="2:4" ht="17.25" hidden="1" customHeight="1" x14ac:dyDescent="0.25">
      <c r="B524" s="1">
        <f t="shared" si="35"/>
        <v>0</v>
      </c>
      <c r="C524" s="1" t="str">
        <f t="shared" si="33"/>
        <v>0</v>
      </c>
      <c r="D524" s="1">
        <f t="shared" si="36"/>
        <v>0</v>
      </c>
    </row>
    <row r="525" spans="2:4" ht="17.25" hidden="1" customHeight="1" x14ac:dyDescent="0.25">
      <c r="B525" s="1">
        <f t="shared" si="35"/>
        <v>0</v>
      </c>
      <c r="C525" s="1" t="str">
        <f t="shared" si="33"/>
        <v>0</v>
      </c>
      <c r="D525" s="1">
        <f t="shared" si="36"/>
        <v>0</v>
      </c>
    </row>
    <row r="526" spans="2:4" ht="17.25" hidden="1" customHeight="1" x14ac:dyDescent="0.25">
      <c r="B526" s="1">
        <f t="shared" si="35"/>
        <v>0</v>
      </c>
      <c r="C526" s="1" t="str">
        <f t="shared" si="33"/>
        <v>0</v>
      </c>
      <c r="D526" s="1">
        <f t="shared" si="36"/>
        <v>0</v>
      </c>
    </row>
    <row r="527" spans="2:4" ht="17.25" hidden="1" customHeight="1" x14ac:dyDescent="0.25">
      <c r="B527" s="1">
        <f t="shared" si="35"/>
        <v>0</v>
      </c>
      <c r="C527" s="1" t="str">
        <f t="shared" si="33"/>
        <v>0</v>
      </c>
      <c r="D527" s="1">
        <f t="shared" si="36"/>
        <v>0</v>
      </c>
    </row>
    <row r="528" spans="2:4" ht="17.25" hidden="1" customHeight="1" x14ac:dyDescent="0.25">
      <c r="B528" s="1">
        <f t="shared" si="35"/>
        <v>0</v>
      </c>
      <c r="C528" s="1" t="str">
        <f t="shared" si="33"/>
        <v>0</v>
      </c>
      <c r="D528" s="1">
        <f t="shared" si="36"/>
        <v>0</v>
      </c>
    </row>
    <row r="529" spans="2:4" ht="17.25" hidden="1" customHeight="1" x14ac:dyDescent="0.25">
      <c r="B529" s="1">
        <f t="shared" si="35"/>
        <v>0</v>
      </c>
      <c r="C529" s="1" t="str">
        <f t="shared" si="33"/>
        <v>0</v>
      </c>
      <c r="D529" s="1">
        <f t="shared" si="36"/>
        <v>0</v>
      </c>
    </row>
    <row r="530" spans="2:4" ht="17.25" hidden="1" customHeight="1" x14ac:dyDescent="0.25">
      <c r="B530" s="1">
        <f t="shared" si="35"/>
        <v>0</v>
      </c>
      <c r="C530" s="1" t="str">
        <f t="shared" si="33"/>
        <v>0</v>
      </c>
      <c r="D530" s="1">
        <f t="shared" si="36"/>
        <v>0</v>
      </c>
    </row>
    <row r="531" spans="2:4" ht="17.25" hidden="1" customHeight="1" x14ac:dyDescent="0.25">
      <c r="B531" s="1">
        <f t="shared" si="35"/>
        <v>0</v>
      </c>
      <c r="C531" s="1" t="str">
        <f t="shared" si="33"/>
        <v>0</v>
      </c>
      <c r="D531" s="1">
        <f t="shared" si="36"/>
        <v>0</v>
      </c>
    </row>
    <row r="532" spans="2:4" ht="17.25" hidden="1" customHeight="1" x14ac:dyDescent="0.25">
      <c r="B532" s="1">
        <f t="shared" si="35"/>
        <v>0</v>
      </c>
      <c r="C532" s="1" t="str">
        <f t="shared" si="33"/>
        <v>0</v>
      </c>
      <c r="D532" s="1">
        <f t="shared" si="36"/>
        <v>0</v>
      </c>
    </row>
    <row r="533" spans="2:4" ht="17.25" hidden="1" customHeight="1" x14ac:dyDescent="0.25">
      <c r="B533" s="1">
        <f t="shared" si="35"/>
        <v>0</v>
      </c>
      <c r="C533" s="1" t="str">
        <f t="shared" si="33"/>
        <v>0</v>
      </c>
      <c r="D533" s="1">
        <f t="shared" si="36"/>
        <v>0</v>
      </c>
    </row>
    <row r="534" spans="2:4" ht="17.25" hidden="1" customHeight="1" x14ac:dyDescent="0.25">
      <c r="B534" s="1">
        <f t="shared" si="35"/>
        <v>0</v>
      </c>
      <c r="C534" s="1" t="str">
        <f t="shared" si="33"/>
        <v>0</v>
      </c>
      <c r="D534" s="1">
        <f t="shared" si="36"/>
        <v>0</v>
      </c>
    </row>
    <row r="535" spans="2:4" ht="17.25" hidden="1" customHeight="1" x14ac:dyDescent="0.25">
      <c r="B535" s="1">
        <f t="shared" si="35"/>
        <v>0</v>
      </c>
      <c r="C535" s="1" t="str">
        <f t="shared" si="33"/>
        <v>0</v>
      </c>
      <c r="D535" s="1">
        <f t="shared" si="36"/>
        <v>0</v>
      </c>
    </row>
    <row r="536" spans="2:4" ht="17.25" hidden="1" customHeight="1" x14ac:dyDescent="0.25">
      <c r="B536" s="1">
        <f t="shared" si="35"/>
        <v>0</v>
      </c>
      <c r="C536" s="1" t="str">
        <f t="shared" si="33"/>
        <v>0</v>
      </c>
      <c r="D536" s="1">
        <f t="shared" si="36"/>
        <v>0</v>
      </c>
    </row>
    <row r="537" spans="2:4" ht="17.25" hidden="1" customHeight="1" x14ac:dyDescent="0.25">
      <c r="B537" s="1">
        <f t="shared" si="35"/>
        <v>0</v>
      </c>
      <c r="C537" s="1" t="str">
        <f t="shared" si="33"/>
        <v>0</v>
      </c>
      <c r="D537" s="1">
        <f t="shared" si="36"/>
        <v>0</v>
      </c>
    </row>
    <row r="538" spans="2:4" ht="17.25" hidden="1" customHeight="1" x14ac:dyDescent="0.25"/>
    <row r="539" spans="2:4" ht="17.25" hidden="1" customHeight="1" x14ac:dyDescent="0.25"/>
    <row r="540" spans="2:4" ht="17.25" hidden="1" customHeight="1" x14ac:dyDescent="0.25"/>
    <row r="585" spans="1:64" x14ac:dyDescent="0.25">
      <c r="B585" s="1" t="s">
        <v>389</v>
      </c>
    </row>
    <row r="586" spans="1:64" x14ac:dyDescent="0.25">
      <c r="A586" s="260" t="s">
        <v>247</v>
      </c>
      <c r="B586" s="260" t="s">
        <v>349</v>
      </c>
      <c r="C586" s="260"/>
      <c r="D586" s="260"/>
      <c r="F586" s="260" t="s">
        <v>247</v>
      </c>
      <c r="G586" s="260" t="s">
        <v>352</v>
      </c>
      <c r="H586" s="260"/>
      <c r="I586" s="260"/>
      <c r="K586" s="261" t="s">
        <v>363</v>
      </c>
      <c r="L586" s="261" t="s">
        <v>349</v>
      </c>
      <c r="M586" s="261"/>
      <c r="N586" s="261"/>
      <c r="P586" s="261" t="s">
        <v>363</v>
      </c>
      <c r="Q586" s="261" t="s">
        <v>352</v>
      </c>
      <c r="R586" s="261"/>
      <c r="S586" s="261"/>
      <c r="U586" s="261" t="s">
        <v>363</v>
      </c>
      <c r="V586" s="261" t="s">
        <v>353</v>
      </c>
      <c r="W586" s="261"/>
      <c r="X586" s="261"/>
      <c r="Z586" s="261" t="s">
        <v>363</v>
      </c>
      <c r="AA586" s="261" t="s">
        <v>354</v>
      </c>
      <c r="AB586" s="261"/>
      <c r="AC586" s="261"/>
      <c r="AE586" s="261" t="s">
        <v>363</v>
      </c>
      <c r="AF586" s="261" t="s">
        <v>355</v>
      </c>
      <c r="AG586" s="261"/>
      <c r="AH586" s="261"/>
      <c r="AJ586" s="262" t="s">
        <v>228</v>
      </c>
      <c r="AK586" s="262" t="s">
        <v>349</v>
      </c>
      <c r="AL586" s="262"/>
      <c r="AM586" s="262"/>
      <c r="AN586" s="3"/>
      <c r="AO586" s="262" t="s">
        <v>228</v>
      </c>
      <c r="AP586" s="262" t="s">
        <v>352</v>
      </c>
      <c r="AQ586" s="262"/>
      <c r="AR586" s="262"/>
      <c r="AT586" s="263" t="s">
        <v>228</v>
      </c>
      <c r="AU586" s="263" t="s">
        <v>353</v>
      </c>
      <c r="AV586" s="263"/>
      <c r="AW586" s="263"/>
      <c r="AY586" s="264" t="s">
        <v>364</v>
      </c>
      <c r="AZ586" s="264" t="s">
        <v>349</v>
      </c>
      <c r="BA586" s="264"/>
      <c r="BB586" s="264"/>
      <c r="BD586" s="264" t="s">
        <v>364</v>
      </c>
      <c r="BE586" s="264" t="s">
        <v>352</v>
      </c>
      <c r="BF586" s="264"/>
      <c r="BG586" s="264"/>
      <c r="BI586" s="264" t="s">
        <v>364</v>
      </c>
      <c r="BJ586" s="264" t="s">
        <v>353</v>
      </c>
      <c r="BK586" s="264"/>
      <c r="BL586" s="264"/>
    </row>
    <row r="587" spans="1:64" x14ac:dyDescent="0.25">
      <c r="A587" s="260" t="s">
        <v>148</v>
      </c>
      <c r="B587" s="260" t="s">
        <v>149</v>
      </c>
      <c r="C587" s="260" t="s">
        <v>150</v>
      </c>
      <c r="D587" s="260" t="s">
        <v>350</v>
      </c>
      <c r="F587" s="260" t="s">
        <v>148</v>
      </c>
      <c r="G587" s="260" t="s">
        <v>149</v>
      </c>
      <c r="H587" s="260" t="s">
        <v>150</v>
      </c>
      <c r="I587" s="260" t="s">
        <v>350</v>
      </c>
      <c r="K587" s="261" t="s">
        <v>148</v>
      </c>
      <c r="L587" s="261" t="s">
        <v>149</v>
      </c>
      <c r="M587" s="261" t="s">
        <v>150</v>
      </c>
      <c r="N587" s="261" t="s">
        <v>350</v>
      </c>
      <c r="P587" s="261" t="s">
        <v>148</v>
      </c>
      <c r="Q587" s="261" t="s">
        <v>149</v>
      </c>
      <c r="R587" s="261" t="s">
        <v>150</v>
      </c>
      <c r="S587" s="261" t="s">
        <v>350</v>
      </c>
      <c r="U587" s="261" t="s">
        <v>148</v>
      </c>
      <c r="V587" s="261" t="s">
        <v>149</v>
      </c>
      <c r="W587" s="261" t="s">
        <v>150</v>
      </c>
      <c r="X587" s="261" t="s">
        <v>350</v>
      </c>
      <c r="Z587" s="261" t="s">
        <v>148</v>
      </c>
      <c r="AA587" s="261" t="s">
        <v>149</v>
      </c>
      <c r="AB587" s="261" t="s">
        <v>150</v>
      </c>
      <c r="AC587" s="261" t="s">
        <v>350</v>
      </c>
      <c r="AE587" s="261" t="s">
        <v>148</v>
      </c>
      <c r="AF587" s="261" t="s">
        <v>149</v>
      </c>
      <c r="AG587" s="261" t="s">
        <v>150</v>
      </c>
      <c r="AH587" s="261" t="s">
        <v>350</v>
      </c>
      <c r="AJ587" s="262" t="s">
        <v>148</v>
      </c>
      <c r="AK587" s="262" t="s">
        <v>149</v>
      </c>
      <c r="AL587" s="262" t="s">
        <v>150</v>
      </c>
      <c r="AM587" s="262" t="s">
        <v>350</v>
      </c>
      <c r="AN587" s="3"/>
      <c r="AO587" s="262" t="s">
        <v>148</v>
      </c>
      <c r="AP587" s="262" t="s">
        <v>149</v>
      </c>
      <c r="AQ587" s="262" t="s">
        <v>150</v>
      </c>
      <c r="AR587" s="262" t="s">
        <v>350</v>
      </c>
      <c r="AT587" s="265" t="s">
        <v>148</v>
      </c>
      <c r="AU587" s="265" t="s">
        <v>149</v>
      </c>
      <c r="AV587" s="265" t="s">
        <v>150</v>
      </c>
      <c r="AW587" s="265" t="s">
        <v>350</v>
      </c>
      <c r="AY587" s="264" t="s">
        <v>148</v>
      </c>
      <c r="AZ587" s="264" t="s">
        <v>149</v>
      </c>
      <c r="BA587" s="264" t="s">
        <v>150</v>
      </c>
      <c r="BB587" s="264" t="s">
        <v>350</v>
      </c>
      <c r="BD587" s="264" t="s">
        <v>148</v>
      </c>
      <c r="BE587" s="264" t="s">
        <v>149</v>
      </c>
      <c r="BF587" s="264" t="s">
        <v>150</v>
      </c>
      <c r="BG587" s="264" t="s">
        <v>350</v>
      </c>
      <c r="BI587" s="264" t="s">
        <v>148</v>
      </c>
      <c r="BJ587" s="264" t="s">
        <v>149</v>
      </c>
      <c r="BK587" s="264" t="s">
        <v>150</v>
      </c>
      <c r="BL587" s="264" t="s">
        <v>350</v>
      </c>
    </row>
    <row r="588" spans="1:64" x14ac:dyDescent="0.25">
      <c r="A588" s="251">
        <v>136060</v>
      </c>
      <c r="B588" s="251" t="s">
        <v>52</v>
      </c>
      <c r="C588" s="257">
        <v>5.76</v>
      </c>
      <c r="D588" s="251" t="s">
        <v>156</v>
      </c>
      <c r="E588" s="252"/>
      <c r="F588" s="251">
        <v>112364</v>
      </c>
      <c r="G588" s="251" t="s">
        <v>48</v>
      </c>
      <c r="H588" s="251">
        <v>3.12</v>
      </c>
      <c r="I588" s="251" t="s">
        <v>175</v>
      </c>
      <c r="J588" s="252"/>
      <c r="K588" s="253">
        <v>137290</v>
      </c>
      <c r="L588" s="253" t="s">
        <v>46</v>
      </c>
      <c r="M588" s="253">
        <v>10.92</v>
      </c>
      <c r="N588" s="258" t="s">
        <v>156</v>
      </c>
      <c r="O588" s="252"/>
      <c r="P588" s="253">
        <v>12715</v>
      </c>
      <c r="Q588" s="253" t="s">
        <v>37</v>
      </c>
      <c r="R588" s="253">
        <v>4.88</v>
      </c>
      <c r="S588" s="253" t="s">
        <v>156</v>
      </c>
      <c r="T588" s="252"/>
      <c r="U588" s="253">
        <v>107147</v>
      </c>
      <c r="V588" s="253" t="s">
        <v>21</v>
      </c>
      <c r="W588" s="253">
        <v>3.79</v>
      </c>
      <c r="X588" s="253" t="s">
        <v>164</v>
      </c>
      <c r="Y588" s="252"/>
      <c r="Z588" s="253">
        <v>119612</v>
      </c>
      <c r="AA588" s="253" t="s">
        <v>58</v>
      </c>
      <c r="AB588" s="253">
        <v>1.62</v>
      </c>
      <c r="AC588" s="253" t="s">
        <v>156</v>
      </c>
      <c r="AD588" s="252"/>
      <c r="AE588" s="253">
        <v>145072</v>
      </c>
      <c r="AF588" s="253" t="s">
        <v>272</v>
      </c>
      <c r="AG588" s="253">
        <v>1.1299999999999999</v>
      </c>
      <c r="AH588" s="253" t="s">
        <v>164</v>
      </c>
      <c r="AI588" s="252"/>
      <c r="AJ588" s="254">
        <v>102807</v>
      </c>
      <c r="AK588" s="254" t="s">
        <v>377</v>
      </c>
      <c r="AL588" s="254">
        <v>0.51</v>
      </c>
      <c r="AM588" s="254" t="s">
        <v>156</v>
      </c>
      <c r="AN588" s="189"/>
      <c r="AO588" s="254">
        <v>14807</v>
      </c>
      <c r="AP588" s="254" t="s">
        <v>24</v>
      </c>
      <c r="AQ588" s="254">
        <v>0.34</v>
      </c>
      <c r="AR588" s="254" t="s">
        <v>154</v>
      </c>
      <c r="AS588" s="252"/>
      <c r="AT588" s="259">
        <v>128807</v>
      </c>
      <c r="AU588" s="259" t="s">
        <v>378</v>
      </c>
      <c r="AV588" s="259">
        <v>0.22</v>
      </c>
      <c r="AW588" s="259" t="s">
        <v>162</v>
      </c>
      <c r="AX588" s="252"/>
      <c r="AY588" s="255">
        <v>136060</v>
      </c>
      <c r="AZ588" s="255" t="s">
        <v>52</v>
      </c>
      <c r="BA588" s="255">
        <v>2.4900000000000002</v>
      </c>
      <c r="BB588" s="255" t="s">
        <v>156</v>
      </c>
      <c r="BC588" s="256"/>
      <c r="BD588" s="255">
        <v>12715</v>
      </c>
      <c r="BE588" s="255" t="s">
        <v>37</v>
      </c>
      <c r="BF588" s="255">
        <v>1.68</v>
      </c>
      <c r="BG588" s="255" t="s">
        <v>156</v>
      </c>
      <c r="BH588" s="256"/>
      <c r="BI588" s="255">
        <v>14817</v>
      </c>
      <c r="BJ588" s="255" t="s">
        <v>43</v>
      </c>
      <c r="BK588" s="255">
        <v>0.95</v>
      </c>
      <c r="BL588" s="255" t="s">
        <v>164</v>
      </c>
    </row>
    <row r="589" spans="1:64" x14ac:dyDescent="0.25">
      <c r="A589" s="251">
        <v>120956</v>
      </c>
      <c r="B589" s="251" t="s">
        <v>376</v>
      </c>
      <c r="C589" s="257">
        <v>4.82</v>
      </c>
      <c r="D589" s="251" t="s">
        <v>162</v>
      </c>
      <c r="E589" s="252"/>
      <c r="F589" s="251">
        <v>14789</v>
      </c>
      <c r="G589" s="251" t="s">
        <v>341</v>
      </c>
      <c r="H589" s="251">
        <v>2.5</v>
      </c>
      <c r="I589" s="251" t="s">
        <v>197</v>
      </c>
      <c r="J589" s="252"/>
      <c r="K589" s="253">
        <v>15227</v>
      </c>
      <c r="L589" s="253" t="s">
        <v>388</v>
      </c>
      <c r="M589" s="253">
        <v>8.85</v>
      </c>
      <c r="N589" s="258" t="s">
        <v>156</v>
      </c>
      <c r="O589" s="252"/>
      <c r="P589" s="253">
        <v>156198</v>
      </c>
      <c r="Q589" s="253" t="s">
        <v>16</v>
      </c>
      <c r="R589" s="253">
        <v>4.84</v>
      </c>
      <c r="S589" s="253" t="s">
        <v>162</v>
      </c>
      <c r="T589" s="252"/>
      <c r="U589" s="253">
        <v>15019</v>
      </c>
      <c r="V589" s="253" t="s">
        <v>40</v>
      </c>
      <c r="W589" s="253">
        <v>3.6</v>
      </c>
      <c r="X589" s="253" t="s">
        <v>164</v>
      </c>
      <c r="Y589" s="252"/>
      <c r="Z589" s="253">
        <v>15407</v>
      </c>
      <c r="AA589" s="253" t="s">
        <v>39</v>
      </c>
      <c r="AB589" s="253">
        <v>1.48</v>
      </c>
      <c r="AC589" s="253" t="s">
        <v>182</v>
      </c>
      <c r="AD589" s="252"/>
      <c r="AE589" s="253">
        <v>159444</v>
      </c>
      <c r="AF589" s="253" t="s">
        <v>57</v>
      </c>
      <c r="AG589" s="253">
        <v>0.88</v>
      </c>
      <c r="AH589" s="253" t="s">
        <v>170</v>
      </c>
      <c r="AI589" s="252"/>
      <c r="AJ589" s="254">
        <v>14895</v>
      </c>
      <c r="AK589" s="254" t="s">
        <v>23</v>
      </c>
      <c r="AL589" s="254">
        <v>0.49</v>
      </c>
      <c r="AM589" s="254" t="s">
        <v>152</v>
      </c>
      <c r="AN589" s="189"/>
      <c r="AO589" s="254">
        <v>14808</v>
      </c>
      <c r="AP589" s="254" t="s">
        <v>41</v>
      </c>
      <c r="AQ589" s="254">
        <v>0.28000000000000003</v>
      </c>
      <c r="AR589" s="254" t="s">
        <v>154</v>
      </c>
      <c r="AS589" s="252"/>
      <c r="AT589" s="259">
        <v>123041</v>
      </c>
      <c r="AU589" s="259" t="s">
        <v>379</v>
      </c>
      <c r="AV589" s="259" t="s">
        <v>198</v>
      </c>
      <c r="AW589" s="259" t="s">
        <v>186</v>
      </c>
      <c r="AX589" s="252"/>
      <c r="AY589" s="255">
        <v>14811</v>
      </c>
      <c r="AZ589" s="255" t="s">
        <v>20</v>
      </c>
      <c r="BA589" s="255">
        <v>2.0099999999999998</v>
      </c>
      <c r="BB589" s="255" t="s">
        <v>160</v>
      </c>
      <c r="BC589" s="256"/>
      <c r="BD589" s="255">
        <v>119612</v>
      </c>
      <c r="BE589" s="255" t="s">
        <v>58</v>
      </c>
      <c r="BF589" s="255">
        <v>1.48</v>
      </c>
      <c r="BG589" s="255" t="s">
        <v>156</v>
      </c>
      <c r="BH589" s="256"/>
      <c r="BI589" s="255">
        <v>15407</v>
      </c>
      <c r="BJ589" s="255" t="s">
        <v>39</v>
      </c>
      <c r="BK589" s="255">
        <v>0.77</v>
      </c>
      <c r="BL589" s="255" t="s">
        <v>182</v>
      </c>
    </row>
    <row r="590" spans="1:64" x14ac:dyDescent="0.25">
      <c r="A590" s="251">
        <v>107147</v>
      </c>
      <c r="B590" s="251" t="s">
        <v>21</v>
      </c>
      <c r="C590" s="257">
        <v>4.66</v>
      </c>
      <c r="D590" s="251" t="s">
        <v>164</v>
      </c>
      <c r="E590" s="252"/>
      <c r="F590" s="251">
        <v>102806</v>
      </c>
      <c r="G590" s="251" t="s">
        <v>51</v>
      </c>
      <c r="H590" s="251">
        <v>2.4500000000000002</v>
      </c>
      <c r="I590" s="251" t="s">
        <v>175</v>
      </c>
      <c r="J590" s="252"/>
      <c r="K590" s="253">
        <v>14895</v>
      </c>
      <c r="L590" s="253" t="s">
        <v>23</v>
      </c>
      <c r="M590" s="253">
        <v>7.26</v>
      </c>
      <c r="N590" s="258" t="s">
        <v>152</v>
      </c>
      <c r="O590" s="252"/>
      <c r="P590" s="253">
        <v>14742</v>
      </c>
      <c r="Q590" s="253" t="s">
        <v>27</v>
      </c>
      <c r="R590" s="253">
        <v>4.62</v>
      </c>
      <c r="S590" s="253" t="s">
        <v>156</v>
      </c>
      <c r="T590" s="252"/>
      <c r="U590" s="253">
        <v>128802</v>
      </c>
      <c r="V590" s="253" t="s">
        <v>386</v>
      </c>
      <c r="W590" s="253">
        <v>2.79</v>
      </c>
      <c r="X590" s="253" t="s">
        <v>182</v>
      </c>
      <c r="Y590" s="252"/>
      <c r="Z590" s="253">
        <v>15205</v>
      </c>
      <c r="AA590" s="253" t="s">
        <v>69</v>
      </c>
      <c r="AB590" s="253">
        <v>1.47</v>
      </c>
      <c r="AC590" s="253" t="s">
        <v>160</v>
      </c>
      <c r="AD590" s="252"/>
      <c r="AE590" s="253">
        <v>152567</v>
      </c>
      <c r="AF590" s="253" t="s">
        <v>346</v>
      </c>
      <c r="AG590" s="253">
        <v>0.85</v>
      </c>
      <c r="AH590" s="253" t="s">
        <v>182</v>
      </c>
      <c r="AI590" s="252"/>
      <c r="AJ590" s="254">
        <v>14811</v>
      </c>
      <c r="AK590" s="254" t="s">
        <v>20</v>
      </c>
      <c r="AL590" s="254">
        <v>0.47</v>
      </c>
      <c r="AM590" s="254" t="s">
        <v>160</v>
      </c>
      <c r="AN590" s="189"/>
      <c r="AO590" s="254">
        <v>131687</v>
      </c>
      <c r="AP590" s="254" t="s">
        <v>344</v>
      </c>
      <c r="AQ590" s="254">
        <v>0.28000000000000003</v>
      </c>
      <c r="AR590" s="254" t="s">
        <v>156</v>
      </c>
      <c r="AS590" s="252"/>
      <c r="AT590" s="259"/>
      <c r="AU590" s="259"/>
      <c r="AV590" s="259"/>
      <c r="AW590" s="259"/>
      <c r="AX590" s="252"/>
      <c r="AY590" s="255">
        <v>119610</v>
      </c>
      <c r="AZ590" s="255" t="s">
        <v>36</v>
      </c>
      <c r="BA590" s="255">
        <v>1.91</v>
      </c>
      <c r="BB590" s="255" t="s">
        <v>164</v>
      </c>
      <c r="BC590" s="256"/>
      <c r="BD590" s="255">
        <v>123009</v>
      </c>
      <c r="BE590" s="255" t="s">
        <v>34</v>
      </c>
      <c r="BF590" s="255">
        <v>1.41</v>
      </c>
      <c r="BG590" s="255" t="s">
        <v>160</v>
      </c>
      <c r="BH590" s="256"/>
      <c r="BI590" s="255">
        <v>15400</v>
      </c>
      <c r="BJ590" s="255" t="s">
        <v>22</v>
      </c>
      <c r="BK590" s="255">
        <v>0.48</v>
      </c>
      <c r="BL590" s="255" t="s">
        <v>175</v>
      </c>
    </row>
    <row r="591" spans="1:64" x14ac:dyDescent="0.25">
      <c r="A591" s="251">
        <v>15119</v>
      </c>
      <c r="B591" s="251" t="s">
        <v>373</v>
      </c>
      <c r="C591" s="257">
        <v>4.45</v>
      </c>
      <c r="D591" s="251" t="s">
        <v>154</v>
      </c>
      <c r="E591" s="252"/>
      <c r="F591" s="251">
        <v>14821</v>
      </c>
      <c r="G591" s="251" t="s">
        <v>17</v>
      </c>
      <c r="H591" s="251">
        <v>2.38</v>
      </c>
      <c r="I591" s="251" t="s">
        <v>154</v>
      </c>
      <c r="J591" s="252"/>
      <c r="K591" s="253">
        <v>15119</v>
      </c>
      <c r="L591" s="253" t="s">
        <v>373</v>
      </c>
      <c r="M591" s="253">
        <v>6.53</v>
      </c>
      <c r="N591" s="258" t="s">
        <v>154</v>
      </c>
      <c r="O591" s="252"/>
      <c r="P591" s="253">
        <v>119610</v>
      </c>
      <c r="Q591" s="253" t="s">
        <v>36</v>
      </c>
      <c r="R591" s="253">
        <v>4.38</v>
      </c>
      <c r="S591" s="253" t="s">
        <v>164</v>
      </c>
      <c r="T591" s="252"/>
      <c r="U591" s="253">
        <v>102806</v>
      </c>
      <c r="V591" s="253" t="s">
        <v>51</v>
      </c>
      <c r="W591" s="253">
        <v>2.76</v>
      </c>
      <c r="X591" s="253" t="s">
        <v>175</v>
      </c>
      <c r="Y591" s="252"/>
      <c r="Z591" s="253">
        <v>128537</v>
      </c>
      <c r="AA591" s="253" t="s">
        <v>384</v>
      </c>
      <c r="AB591" s="253">
        <v>1.38</v>
      </c>
      <c r="AC591" s="253" t="s">
        <v>186</v>
      </c>
      <c r="AD591" s="252"/>
      <c r="AE591" s="253">
        <v>137935</v>
      </c>
      <c r="AF591" s="253" t="s">
        <v>60</v>
      </c>
      <c r="AG591" s="253">
        <v>0.6</v>
      </c>
      <c r="AH591" s="253" t="s">
        <v>173</v>
      </c>
      <c r="AI591" s="252"/>
      <c r="AJ591" s="254">
        <v>15354</v>
      </c>
      <c r="AK591" s="254" t="s">
        <v>70</v>
      </c>
      <c r="AL591" s="254">
        <v>0.45</v>
      </c>
      <c r="AM591" s="254" t="s">
        <v>162</v>
      </c>
      <c r="AN591" s="189"/>
      <c r="AO591" s="254">
        <v>15119</v>
      </c>
      <c r="AP591" s="254" t="s">
        <v>373</v>
      </c>
      <c r="AQ591" s="254" t="s">
        <v>198</v>
      </c>
      <c r="AR591" s="254" t="s">
        <v>154</v>
      </c>
      <c r="AS591" s="252"/>
      <c r="AT591" s="259"/>
      <c r="AU591" s="259"/>
      <c r="AV591" s="259"/>
      <c r="AW591" s="259"/>
      <c r="AX591" s="252"/>
      <c r="AY591" s="255">
        <v>112364</v>
      </c>
      <c r="AZ591" s="255" t="s">
        <v>48</v>
      </c>
      <c r="BA591" s="255">
        <v>1.83</v>
      </c>
      <c r="BB591" s="255" t="s">
        <v>175</v>
      </c>
      <c r="BC591" s="256"/>
      <c r="BD591" s="255">
        <v>107147</v>
      </c>
      <c r="BE591" s="255" t="s">
        <v>21</v>
      </c>
      <c r="BF591" s="255">
        <v>1.4</v>
      </c>
      <c r="BG591" s="255" t="s">
        <v>164</v>
      </c>
      <c r="BH591" s="256"/>
      <c r="BI591" s="255">
        <v>131687</v>
      </c>
      <c r="BJ591" s="255" t="s">
        <v>344</v>
      </c>
      <c r="BK591" s="255" t="s">
        <v>198</v>
      </c>
      <c r="BL591" s="255" t="s">
        <v>156</v>
      </c>
    </row>
    <row r="592" spans="1:64" x14ac:dyDescent="0.25">
      <c r="A592" s="251">
        <v>14895</v>
      </c>
      <c r="B592" s="251" t="s">
        <v>23</v>
      </c>
      <c r="C592" s="257">
        <v>4.28</v>
      </c>
      <c r="D592" s="251" t="s">
        <v>152</v>
      </c>
      <c r="E592" s="252"/>
      <c r="F592" s="251">
        <v>15019</v>
      </c>
      <c r="G592" s="251" t="s">
        <v>40</v>
      </c>
      <c r="H592" s="251">
        <v>2.2599999999999998</v>
      </c>
      <c r="I592" s="251" t="s">
        <v>164</v>
      </c>
      <c r="J592" s="252"/>
      <c r="K592" s="253">
        <v>15290</v>
      </c>
      <c r="L592" s="253" t="s">
        <v>365</v>
      </c>
      <c r="M592" s="253">
        <v>6.35</v>
      </c>
      <c r="N592" s="258" t="s">
        <v>351</v>
      </c>
      <c r="O592" s="252"/>
      <c r="P592" s="253">
        <v>112364</v>
      </c>
      <c r="Q592" s="253" t="s">
        <v>48</v>
      </c>
      <c r="R592" s="253">
        <v>4.26</v>
      </c>
      <c r="S592" s="253" t="s">
        <v>175</v>
      </c>
      <c r="T592" s="252"/>
      <c r="U592" s="253">
        <v>15086</v>
      </c>
      <c r="V592" s="253" t="s">
        <v>56</v>
      </c>
      <c r="W592" s="253">
        <v>2.75</v>
      </c>
      <c r="X592" s="253" t="s">
        <v>164</v>
      </c>
      <c r="Y592" s="252"/>
      <c r="Z592" s="253">
        <v>104525</v>
      </c>
      <c r="AA592" s="253" t="s">
        <v>385</v>
      </c>
      <c r="AB592" s="253">
        <v>1.25</v>
      </c>
      <c r="AC592" s="253" t="s">
        <v>173</v>
      </c>
      <c r="AD592" s="252"/>
      <c r="AE592" s="253">
        <v>176956</v>
      </c>
      <c r="AF592" s="253" t="s">
        <v>380</v>
      </c>
      <c r="AG592" s="253" t="s">
        <v>198</v>
      </c>
      <c r="AH592" s="253" t="s">
        <v>170</v>
      </c>
      <c r="AI592" s="252"/>
      <c r="AJ592" s="254">
        <v>107147</v>
      </c>
      <c r="AK592" s="254" t="s">
        <v>21</v>
      </c>
      <c r="AL592" s="254">
        <v>0.44</v>
      </c>
      <c r="AM592" s="254" t="s">
        <v>164</v>
      </c>
      <c r="AN592" s="189"/>
      <c r="AO592" s="254">
        <v>120956</v>
      </c>
      <c r="AP592" s="254" t="s">
        <v>376</v>
      </c>
      <c r="AQ592" s="254" t="s">
        <v>198</v>
      </c>
      <c r="AR592" s="254" t="s">
        <v>162</v>
      </c>
      <c r="AS592" s="252"/>
      <c r="AT592" s="259"/>
      <c r="AU592" s="259"/>
      <c r="AV592" s="259"/>
      <c r="AW592" s="259"/>
      <c r="AX592" s="252"/>
      <c r="AY592" s="255">
        <v>152951</v>
      </c>
      <c r="AZ592" s="255" t="s">
        <v>358</v>
      </c>
      <c r="BA592" s="255">
        <v>1.76</v>
      </c>
      <c r="BB592" s="255" t="s">
        <v>160</v>
      </c>
      <c r="BC592" s="256"/>
      <c r="BD592" s="255">
        <v>14789</v>
      </c>
      <c r="BE592" s="255" t="s">
        <v>341</v>
      </c>
      <c r="BF592" s="255">
        <v>1.37</v>
      </c>
      <c r="BG592" s="255" t="s">
        <v>197</v>
      </c>
      <c r="BH592" s="256"/>
      <c r="BI592" s="255"/>
      <c r="BJ592" s="255"/>
      <c r="BK592" s="255"/>
      <c r="BL592" s="255"/>
    </row>
    <row r="593" spans="1:64" x14ac:dyDescent="0.25">
      <c r="A593" s="251">
        <v>12715</v>
      </c>
      <c r="B593" s="251" t="s">
        <v>37</v>
      </c>
      <c r="C593" s="257">
        <v>4.07</v>
      </c>
      <c r="D593" s="251" t="s">
        <v>156</v>
      </c>
      <c r="E593" s="252"/>
      <c r="F593" s="251">
        <v>120525</v>
      </c>
      <c r="G593" s="251" t="s">
        <v>47</v>
      </c>
      <c r="H593" s="251">
        <v>2.25</v>
      </c>
      <c r="I593" s="251" t="s">
        <v>175</v>
      </c>
      <c r="J593" s="252"/>
      <c r="K593" s="253"/>
      <c r="L593" s="253"/>
      <c r="M593" s="253"/>
      <c r="N593" s="258"/>
      <c r="O593" s="252"/>
      <c r="P593" s="253">
        <v>14821</v>
      </c>
      <c r="Q593" s="253" t="s">
        <v>17</v>
      </c>
      <c r="R593" s="253">
        <v>3.87</v>
      </c>
      <c r="S593" s="253" t="s">
        <v>154</v>
      </c>
      <c r="T593" s="252"/>
      <c r="U593" s="253">
        <v>140767</v>
      </c>
      <c r="V593" s="253" t="s">
        <v>387</v>
      </c>
      <c r="W593" s="253">
        <v>2.62</v>
      </c>
      <c r="X593" s="253" t="s">
        <v>170</v>
      </c>
      <c r="Y593" s="252"/>
      <c r="Z593" s="253"/>
      <c r="AA593" s="253"/>
      <c r="AB593" s="253"/>
      <c r="AC593" s="253"/>
      <c r="AD593" s="252"/>
      <c r="AE593" s="253">
        <v>15518</v>
      </c>
      <c r="AF593" s="253" t="s">
        <v>381</v>
      </c>
      <c r="AG593" s="253" t="s">
        <v>198</v>
      </c>
      <c r="AH593" s="253" t="s">
        <v>160</v>
      </c>
      <c r="AI593" s="252"/>
      <c r="AJ593" s="254">
        <v>14789</v>
      </c>
      <c r="AK593" s="254" t="s">
        <v>341</v>
      </c>
      <c r="AL593" s="254">
        <v>0.4</v>
      </c>
      <c r="AM593" s="254" t="s">
        <v>197</v>
      </c>
      <c r="AN593" s="189"/>
      <c r="AO593" s="254">
        <v>128807</v>
      </c>
      <c r="AP593" s="254" t="s">
        <v>378</v>
      </c>
      <c r="AQ593" s="254">
        <v>0.22</v>
      </c>
      <c r="AR593" s="254" t="s">
        <v>162</v>
      </c>
      <c r="AS593" s="252"/>
      <c r="AT593" s="259"/>
      <c r="AU593" s="259"/>
      <c r="AV593" s="259"/>
      <c r="AW593" s="259"/>
      <c r="AX593" s="252"/>
      <c r="AY593" s="255">
        <v>14895</v>
      </c>
      <c r="AZ593" s="255" t="s">
        <v>23</v>
      </c>
      <c r="BA593" s="255">
        <v>1.71</v>
      </c>
      <c r="BB593" s="255" t="s">
        <v>152</v>
      </c>
      <c r="BC593" s="256"/>
      <c r="BD593" s="255">
        <v>102806</v>
      </c>
      <c r="BE593" s="255" t="s">
        <v>51</v>
      </c>
      <c r="BF593" s="255">
        <v>1.35</v>
      </c>
      <c r="BG593" s="255" t="s">
        <v>175</v>
      </c>
      <c r="BH593" s="256"/>
      <c r="BI593" s="255"/>
      <c r="BJ593" s="255"/>
      <c r="BK593" s="255"/>
      <c r="BL593" s="255"/>
    </row>
    <row r="594" spans="1:64" x14ac:dyDescent="0.25">
      <c r="A594" s="251">
        <v>156198</v>
      </c>
      <c r="B594" s="251" t="s">
        <v>16</v>
      </c>
      <c r="C594" s="257">
        <v>3.86</v>
      </c>
      <c r="D594" s="251" t="s">
        <v>162</v>
      </c>
      <c r="E594" s="252"/>
      <c r="F594" s="251">
        <v>14817</v>
      </c>
      <c r="G594" s="251" t="s">
        <v>43</v>
      </c>
      <c r="H594" s="251">
        <v>1.98</v>
      </c>
      <c r="I594" s="251" t="s">
        <v>164</v>
      </c>
      <c r="J594" s="252"/>
      <c r="K594" s="253"/>
      <c r="L594" s="253"/>
      <c r="M594" s="253"/>
      <c r="N594" s="258"/>
      <c r="O594" s="252"/>
      <c r="P594" s="253">
        <v>123009</v>
      </c>
      <c r="Q594" s="253" t="s">
        <v>34</v>
      </c>
      <c r="R594" s="253">
        <v>3.65</v>
      </c>
      <c r="S594" s="253" t="s">
        <v>160</v>
      </c>
      <c r="T594" s="252"/>
      <c r="U594" s="253">
        <v>14817</v>
      </c>
      <c r="V594" s="253" t="s">
        <v>43</v>
      </c>
      <c r="W594" s="253">
        <v>2.54</v>
      </c>
      <c r="X594" s="253" t="s">
        <v>164</v>
      </c>
      <c r="Y594" s="252"/>
      <c r="Z594" s="253"/>
      <c r="AA594" s="253"/>
      <c r="AB594" s="253"/>
      <c r="AC594" s="253"/>
      <c r="AD594" s="252"/>
      <c r="AE594" s="253">
        <v>177005</v>
      </c>
      <c r="AF594" s="253" t="s">
        <v>382</v>
      </c>
      <c r="AG594" s="253" t="s">
        <v>198</v>
      </c>
      <c r="AH594" s="253" t="s">
        <v>162</v>
      </c>
      <c r="AI594" s="252"/>
      <c r="AJ594" s="254">
        <v>119612</v>
      </c>
      <c r="AK594" s="254" t="s">
        <v>58</v>
      </c>
      <c r="AL594" s="254">
        <v>0.39</v>
      </c>
      <c r="AM594" s="254" t="s">
        <v>156</v>
      </c>
      <c r="AN594" s="189"/>
      <c r="AO594" s="254">
        <v>123041</v>
      </c>
      <c r="AP594" s="254" t="s">
        <v>379</v>
      </c>
      <c r="AQ594" s="254" t="s">
        <v>198</v>
      </c>
      <c r="AR594" s="254" t="s">
        <v>186</v>
      </c>
      <c r="AS594" s="252"/>
      <c r="AT594" s="259"/>
      <c r="AU594" s="259"/>
      <c r="AV594" s="259"/>
      <c r="AW594" s="259"/>
      <c r="AX594" s="252"/>
      <c r="AY594" s="255">
        <v>15119</v>
      </c>
      <c r="AZ594" s="255" t="s">
        <v>373</v>
      </c>
      <c r="BA594" s="255">
        <v>1.68</v>
      </c>
      <c r="BB594" s="255" t="s">
        <v>154</v>
      </c>
      <c r="BC594" s="256"/>
      <c r="BD594" s="255">
        <v>15019</v>
      </c>
      <c r="BE594" s="255" t="s">
        <v>40</v>
      </c>
      <c r="BF594" s="255">
        <v>1.18</v>
      </c>
      <c r="BG594" s="255" t="s">
        <v>164</v>
      </c>
      <c r="BH594" s="256"/>
      <c r="BI594" s="255"/>
      <c r="BJ594" s="255"/>
      <c r="BK594" s="255"/>
      <c r="BL594" s="255"/>
    </row>
    <row r="595" spans="1:64" x14ac:dyDescent="0.25">
      <c r="A595" s="251">
        <v>14811</v>
      </c>
      <c r="B595" s="251" t="s">
        <v>20</v>
      </c>
      <c r="C595" s="257">
        <v>3.6</v>
      </c>
      <c r="D595" s="251" t="s">
        <v>160</v>
      </c>
      <c r="E595" s="252"/>
      <c r="F595" s="251">
        <v>12884</v>
      </c>
      <c r="G595" s="251" t="s">
        <v>38</v>
      </c>
      <c r="H595" s="251">
        <v>1.81</v>
      </c>
      <c r="I595" s="251" t="s">
        <v>164</v>
      </c>
      <c r="J595" s="252"/>
      <c r="K595" s="253"/>
      <c r="L595" s="253"/>
      <c r="M595" s="253"/>
      <c r="N595" s="258"/>
      <c r="O595" s="252"/>
      <c r="P595" s="253"/>
      <c r="Q595" s="253"/>
      <c r="R595" s="253"/>
      <c r="S595" s="253"/>
      <c r="T595" s="252"/>
      <c r="U595" s="253">
        <v>162922</v>
      </c>
      <c r="V595" s="253" t="s">
        <v>59</v>
      </c>
      <c r="W595" s="253">
        <v>2.52</v>
      </c>
      <c r="X595" s="253" t="s">
        <v>351</v>
      </c>
      <c r="Y595" s="252"/>
      <c r="Z595" s="253"/>
      <c r="AA595" s="253"/>
      <c r="AB595" s="253"/>
      <c r="AC595" s="253"/>
      <c r="AD595" s="252"/>
      <c r="AE595" s="253">
        <v>177006</v>
      </c>
      <c r="AF595" s="253" t="s">
        <v>383</v>
      </c>
      <c r="AG595" s="253" t="s">
        <v>198</v>
      </c>
      <c r="AH595" s="253" t="s">
        <v>162</v>
      </c>
      <c r="AI595" s="252"/>
      <c r="AJ595" s="254">
        <v>102806</v>
      </c>
      <c r="AK595" s="254" t="s">
        <v>51</v>
      </c>
      <c r="AL595" s="254">
        <v>0.38</v>
      </c>
      <c r="AM595" s="254" t="s">
        <v>175</v>
      </c>
      <c r="AN595" s="189"/>
      <c r="AO595" s="254"/>
      <c r="AP595" s="254"/>
      <c r="AQ595" s="254"/>
      <c r="AR595" s="254"/>
      <c r="AS595" s="252"/>
      <c r="AT595" s="259"/>
      <c r="AU595" s="259"/>
      <c r="AV595" s="259"/>
      <c r="AW595" s="259"/>
      <c r="AX595" s="252"/>
      <c r="AY595" s="255"/>
      <c r="AZ595" s="255"/>
      <c r="BA595" s="255"/>
      <c r="BB595" s="255"/>
      <c r="BC595" s="256"/>
      <c r="BD595" s="255">
        <v>120525</v>
      </c>
      <c r="BE595" s="255" t="s">
        <v>47</v>
      </c>
      <c r="BF595" s="255">
        <v>1.1399999999999999</v>
      </c>
      <c r="BG595" s="255" t="s">
        <v>175</v>
      </c>
      <c r="BH595" s="256"/>
      <c r="BI595" s="255"/>
      <c r="BJ595" s="255"/>
      <c r="BK595" s="255"/>
      <c r="BL595" s="255"/>
    </row>
    <row r="596" spans="1:64" x14ac:dyDescent="0.25">
      <c r="A596" s="251">
        <v>119610</v>
      </c>
      <c r="B596" s="251" t="s">
        <v>36</v>
      </c>
      <c r="C596" s="257">
        <v>3.39</v>
      </c>
      <c r="D596" s="251" t="s">
        <v>164</v>
      </c>
      <c r="E596" s="252"/>
      <c r="F596" s="251">
        <v>102783</v>
      </c>
      <c r="G596" s="251" t="s">
        <v>73</v>
      </c>
      <c r="H596" s="251">
        <v>1.63</v>
      </c>
      <c r="I596" s="251" t="s">
        <v>186</v>
      </c>
      <c r="J596" s="252"/>
      <c r="K596" s="253"/>
      <c r="L596" s="253"/>
      <c r="M596" s="253"/>
      <c r="N596" s="258"/>
      <c r="O596" s="252"/>
      <c r="P596" s="253"/>
      <c r="Q596" s="253"/>
      <c r="R596" s="253"/>
      <c r="S596" s="253"/>
      <c r="T596" s="252"/>
      <c r="U596" s="253">
        <v>15089</v>
      </c>
      <c r="V596" s="253" t="s">
        <v>72</v>
      </c>
      <c r="W596" s="253">
        <v>2.4900000000000002</v>
      </c>
      <c r="X596" s="253" t="s">
        <v>182</v>
      </c>
      <c r="Y596" s="252"/>
      <c r="Z596" s="253"/>
      <c r="AA596" s="253"/>
      <c r="AB596" s="253"/>
      <c r="AC596" s="253"/>
      <c r="AD596" s="252"/>
      <c r="AE596" s="253"/>
      <c r="AF596" s="253"/>
      <c r="AG596" s="253"/>
      <c r="AH596" s="253"/>
      <c r="AI596" s="252"/>
      <c r="AJ596" s="254">
        <v>123009</v>
      </c>
      <c r="AK596" s="254" t="s">
        <v>34</v>
      </c>
      <c r="AL596" s="254">
        <v>0.34</v>
      </c>
      <c r="AM596" s="254" t="s">
        <v>160</v>
      </c>
      <c r="AN596" s="189"/>
      <c r="AO596" s="254"/>
      <c r="AP596" s="254"/>
      <c r="AQ596" s="254"/>
      <c r="AR596" s="254"/>
      <c r="AS596" s="252"/>
      <c r="AT596" s="259"/>
      <c r="AU596" s="259"/>
      <c r="AV596" s="259"/>
      <c r="AW596" s="259"/>
      <c r="AX596" s="252"/>
      <c r="AY596" s="255"/>
      <c r="AZ596" s="255"/>
      <c r="BA596" s="255"/>
      <c r="BB596" s="255"/>
      <c r="BC596" s="256"/>
      <c r="BD596" s="255">
        <v>12884</v>
      </c>
      <c r="BE596" s="255" t="s">
        <v>38</v>
      </c>
      <c r="BF596" s="255">
        <v>1.1299999999999999</v>
      </c>
      <c r="BG596" s="255" t="s">
        <v>164</v>
      </c>
      <c r="BH596" s="256"/>
      <c r="BI596" s="255"/>
      <c r="BJ596" s="255"/>
      <c r="BK596" s="255"/>
      <c r="BL596" s="255"/>
    </row>
    <row r="597" spans="1:64" x14ac:dyDescent="0.25">
      <c r="A597" s="251">
        <v>123009</v>
      </c>
      <c r="B597" s="251" t="s">
        <v>34</v>
      </c>
      <c r="C597" s="257">
        <v>3.07</v>
      </c>
      <c r="D597" s="251" t="s">
        <v>160</v>
      </c>
      <c r="E597" s="252"/>
      <c r="F597" s="251">
        <v>15400</v>
      </c>
      <c r="G597" s="251" t="s">
        <v>22</v>
      </c>
      <c r="H597" s="251">
        <v>0.8</v>
      </c>
      <c r="I597" s="251" t="s">
        <v>175</v>
      </c>
      <c r="J597" s="252"/>
      <c r="K597" s="253"/>
      <c r="L597" s="253"/>
      <c r="M597" s="253"/>
      <c r="N597" s="258"/>
      <c r="O597" s="252"/>
      <c r="P597" s="253"/>
      <c r="Q597" s="253"/>
      <c r="R597" s="253"/>
      <c r="S597" s="253"/>
      <c r="T597" s="252"/>
      <c r="U597" s="253">
        <v>14907</v>
      </c>
      <c r="V597" s="253" t="s">
        <v>340</v>
      </c>
      <c r="W597" s="253">
        <v>2.38</v>
      </c>
      <c r="X597" s="253" t="s">
        <v>162</v>
      </c>
      <c r="Y597" s="252"/>
      <c r="Z597" s="253"/>
      <c r="AA597" s="253"/>
      <c r="AB597" s="253"/>
      <c r="AC597" s="253"/>
      <c r="AD597" s="252"/>
      <c r="AE597" s="253"/>
      <c r="AF597" s="253"/>
      <c r="AG597" s="253"/>
      <c r="AH597" s="253"/>
      <c r="AI597" s="252"/>
      <c r="AJ597" s="254"/>
      <c r="AK597" s="254"/>
      <c r="AL597" s="254"/>
      <c r="AM597" s="254"/>
      <c r="AN597" s="189"/>
      <c r="AO597" s="254"/>
      <c r="AP597" s="254"/>
      <c r="AQ597" s="254"/>
      <c r="AR597" s="254"/>
      <c r="AS597" s="252"/>
      <c r="AT597" s="259"/>
      <c r="AU597" s="259"/>
      <c r="AV597" s="259"/>
      <c r="AW597" s="259"/>
      <c r="AX597" s="252"/>
      <c r="AY597" s="255"/>
      <c r="AZ597" s="255"/>
      <c r="BA597" s="255"/>
      <c r="BB597" s="255"/>
      <c r="BC597" s="256"/>
      <c r="BD597" s="255">
        <v>15290</v>
      </c>
      <c r="BE597" s="255" t="s">
        <v>365</v>
      </c>
      <c r="BF597" s="255" t="s">
        <v>198</v>
      </c>
      <c r="BG597" s="255" t="s">
        <v>351</v>
      </c>
      <c r="BH597" s="256"/>
      <c r="BI597" s="255"/>
      <c r="BJ597" s="255"/>
      <c r="BK597" s="255"/>
      <c r="BL597" s="255"/>
    </row>
    <row r="598" spans="1:64" x14ac:dyDescent="0.25">
      <c r="A598" s="251">
        <v>15290</v>
      </c>
      <c r="B598" s="251" t="s">
        <v>365</v>
      </c>
      <c r="C598" s="257" t="s">
        <v>198</v>
      </c>
      <c r="D598" s="251" t="s">
        <v>351</v>
      </c>
      <c r="E598" s="252"/>
      <c r="F598" s="251">
        <v>162922</v>
      </c>
      <c r="G598" s="251" t="s">
        <v>59</v>
      </c>
      <c r="H598" s="251" t="s">
        <v>198</v>
      </c>
      <c r="I598" s="251" t="s">
        <v>351</v>
      </c>
      <c r="J598" s="252"/>
      <c r="K598" s="253"/>
      <c r="L598" s="253"/>
      <c r="M598" s="253"/>
      <c r="N598" s="258"/>
      <c r="O598" s="252"/>
      <c r="P598" s="253"/>
      <c r="Q598" s="253"/>
      <c r="R598" s="253"/>
      <c r="S598" s="253"/>
      <c r="T598" s="252"/>
      <c r="U598" s="253">
        <v>147482</v>
      </c>
      <c r="V598" s="253" t="s">
        <v>67</v>
      </c>
      <c r="W598" s="253">
        <v>2.33</v>
      </c>
      <c r="X598" s="253" t="s">
        <v>170</v>
      </c>
      <c r="Y598" s="252"/>
      <c r="Z598" s="253"/>
      <c r="AA598" s="253"/>
      <c r="AB598" s="253"/>
      <c r="AC598" s="253"/>
      <c r="AD598" s="252"/>
      <c r="AE598" s="253"/>
      <c r="AF598" s="253"/>
      <c r="AG598" s="253"/>
      <c r="AH598" s="253"/>
      <c r="AI598" s="252"/>
      <c r="AJ598" s="254"/>
      <c r="AK598" s="254"/>
      <c r="AL598" s="254"/>
      <c r="AM598" s="254"/>
      <c r="AN598" s="189"/>
      <c r="AO598" s="254"/>
      <c r="AP598" s="254"/>
      <c r="AQ598" s="254"/>
      <c r="AR598" s="254"/>
      <c r="AS598" s="252"/>
      <c r="AT598" s="259"/>
      <c r="AU598" s="259"/>
      <c r="AV598" s="259"/>
      <c r="AW598" s="259"/>
      <c r="AX598" s="252"/>
      <c r="AY598" s="255"/>
      <c r="AZ598" s="255"/>
      <c r="BA598" s="255"/>
      <c r="BB598" s="255"/>
      <c r="BC598" s="256"/>
      <c r="BD598" s="255">
        <v>14817</v>
      </c>
      <c r="BE598" s="255" t="s">
        <v>43</v>
      </c>
      <c r="BF598" s="255">
        <v>0.95</v>
      </c>
      <c r="BG598" s="255" t="s">
        <v>164</v>
      </c>
      <c r="BH598" s="256"/>
      <c r="BI598" s="255"/>
      <c r="BJ598" s="255"/>
      <c r="BK598" s="255"/>
      <c r="BL598" s="255"/>
    </row>
    <row r="599" spans="1:64" x14ac:dyDescent="0.25">
      <c r="A599" s="251"/>
      <c r="B599" s="251"/>
      <c r="C599" s="257"/>
      <c r="D599" s="251"/>
      <c r="E599" s="252"/>
      <c r="F599" s="251"/>
      <c r="G599" s="251"/>
      <c r="H599" s="251"/>
      <c r="I599" s="251"/>
      <c r="J599" s="252"/>
      <c r="K599" s="253"/>
      <c r="L599" s="253"/>
      <c r="M599" s="253"/>
      <c r="N599" s="258"/>
      <c r="O599" s="252"/>
      <c r="P599" s="253"/>
      <c r="Q599" s="253"/>
      <c r="R599" s="253"/>
      <c r="S599" s="253"/>
      <c r="T599" s="252"/>
      <c r="U599" s="253"/>
      <c r="V599" s="253"/>
      <c r="W599" s="253"/>
      <c r="X599" s="253"/>
      <c r="Y599" s="252"/>
      <c r="Z599" s="253"/>
      <c r="AA599" s="253"/>
      <c r="AB599" s="253"/>
      <c r="AC599" s="253"/>
      <c r="AD599" s="252"/>
      <c r="AE599" s="253"/>
      <c r="AF599" s="253"/>
      <c r="AG599" s="253"/>
      <c r="AH599" s="253"/>
      <c r="AI599" s="252"/>
      <c r="AJ599" s="254"/>
      <c r="AK599" s="254"/>
      <c r="AL599" s="254"/>
      <c r="AM599" s="254"/>
      <c r="AN599" s="189"/>
      <c r="AO599" s="254"/>
      <c r="AP599" s="254"/>
      <c r="AQ599" s="254"/>
      <c r="AR599" s="254"/>
      <c r="AS599" s="252"/>
      <c r="AT599" s="259"/>
      <c r="AU599" s="259"/>
      <c r="AV599" s="259"/>
      <c r="AW599" s="259"/>
      <c r="AX599" s="252"/>
      <c r="AY599" s="255"/>
      <c r="AZ599" s="255"/>
      <c r="BA599" s="255"/>
      <c r="BB599" s="255"/>
      <c r="BC599" s="256"/>
      <c r="BD599" s="255">
        <v>15407</v>
      </c>
      <c r="BE599" s="255" t="s">
        <v>39</v>
      </c>
      <c r="BF599" s="255">
        <v>0.77</v>
      </c>
      <c r="BG599" s="255" t="s">
        <v>182</v>
      </c>
      <c r="BH599" s="256"/>
      <c r="BI599" s="255"/>
      <c r="BJ599" s="255"/>
      <c r="BK599" s="255"/>
      <c r="BL599" s="255"/>
    </row>
    <row r="600" spans="1:64" x14ac:dyDescent="0.25">
      <c r="A600" s="251"/>
      <c r="B600" s="251"/>
      <c r="C600" s="257"/>
      <c r="D600" s="251"/>
      <c r="E600" s="252"/>
      <c r="F600" s="251"/>
      <c r="G600" s="251"/>
      <c r="H600" s="251"/>
      <c r="I600" s="251"/>
      <c r="J600" s="252"/>
      <c r="K600" s="253"/>
      <c r="L600" s="253"/>
      <c r="M600" s="253"/>
      <c r="N600" s="253"/>
      <c r="O600" s="252"/>
      <c r="P600" s="253"/>
      <c r="Q600" s="253"/>
      <c r="R600" s="253"/>
      <c r="S600" s="253"/>
      <c r="T600" s="252"/>
      <c r="U600" s="253"/>
      <c r="V600" s="253"/>
      <c r="W600" s="253"/>
      <c r="X600" s="253"/>
      <c r="Y600" s="252"/>
      <c r="Z600" s="253"/>
      <c r="AA600" s="253"/>
      <c r="AB600" s="253"/>
      <c r="AC600" s="253"/>
      <c r="AD600" s="252"/>
      <c r="AE600" s="253"/>
      <c r="AF600" s="253"/>
      <c r="AG600" s="253"/>
      <c r="AH600" s="253"/>
      <c r="AI600" s="252"/>
      <c r="AJ600" s="254"/>
      <c r="AK600" s="254"/>
      <c r="AL600" s="254"/>
      <c r="AM600" s="254"/>
      <c r="AN600" s="189"/>
      <c r="AO600" s="254"/>
      <c r="AP600" s="254"/>
      <c r="AQ600" s="254"/>
      <c r="AR600" s="254"/>
      <c r="AS600" s="252"/>
      <c r="AT600" s="259"/>
      <c r="AU600" s="259"/>
      <c r="AV600" s="259"/>
      <c r="AW600" s="259"/>
      <c r="AX600" s="252"/>
      <c r="AY600" s="255"/>
      <c r="AZ600" s="255"/>
      <c r="BA600" s="255"/>
      <c r="BB600" s="255"/>
      <c r="BC600" s="256"/>
      <c r="BD600" s="255">
        <v>15400</v>
      </c>
      <c r="BE600" s="255" t="s">
        <v>22</v>
      </c>
      <c r="BF600" s="255">
        <v>0.48</v>
      </c>
      <c r="BG600" s="255" t="s">
        <v>175</v>
      </c>
      <c r="BH600" s="256"/>
      <c r="BI600" s="255"/>
      <c r="BJ600" s="255"/>
      <c r="BK600" s="255"/>
      <c r="BL600" s="255"/>
    </row>
    <row r="601" spans="1:64" x14ac:dyDescent="0.25">
      <c r="A601" s="251"/>
      <c r="B601" s="251"/>
      <c r="C601" s="257"/>
      <c r="D601" s="251"/>
      <c r="E601" s="252"/>
      <c r="F601" s="251"/>
      <c r="G601" s="251"/>
      <c r="H601" s="251"/>
      <c r="I601" s="251"/>
      <c r="J601" s="252"/>
      <c r="K601" s="253"/>
      <c r="L601" s="253"/>
      <c r="M601" s="253"/>
      <c r="N601" s="253"/>
      <c r="O601" s="252"/>
      <c r="P601" s="253"/>
      <c r="Q601" s="253"/>
      <c r="R601" s="253"/>
      <c r="S601" s="253"/>
      <c r="T601" s="252"/>
      <c r="U601" s="253"/>
      <c r="V601" s="253"/>
      <c r="W601" s="253"/>
      <c r="X601" s="253"/>
      <c r="Y601" s="252"/>
      <c r="Z601" s="253"/>
      <c r="AA601" s="253"/>
      <c r="AB601" s="253"/>
      <c r="AC601" s="253"/>
      <c r="AD601" s="252"/>
      <c r="AE601" s="253"/>
      <c r="AF601" s="253"/>
      <c r="AG601" s="253"/>
      <c r="AH601" s="253"/>
      <c r="AI601" s="252"/>
      <c r="AJ601" s="254"/>
      <c r="AK601" s="254"/>
      <c r="AL601" s="254"/>
      <c r="AM601" s="254"/>
      <c r="AN601" s="189"/>
      <c r="AO601" s="254"/>
      <c r="AP601" s="254"/>
      <c r="AQ601" s="254"/>
      <c r="AR601" s="254"/>
      <c r="AS601" s="252"/>
      <c r="AT601" s="259"/>
      <c r="AU601" s="259"/>
      <c r="AV601" s="259"/>
      <c r="AW601" s="259"/>
      <c r="AX601" s="252"/>
      <c r="AY601" s="255"/>
      <c r="AZ601" s="255"/>
      <c r="BA601" s="255"/>
      <c r="BB601" s="255"/>
      <c r="BC601" s="256"/>
      <c r="BD601" s="255">
        <v>131687</v>
      </c>
      <c r="BE601" s="255" t="s">
        <v>344</v>
      </c>
      <c r="BF601" s="255" t="s">
        <v>198</v>
      </c>
      <c r="BG601" s="255" t="s">
        <v>156</v>
      </c>
      <c r="BH601" s="256"/>
      <c r="BI601" s="255"/>
      <c r="BJ601" s="255"/>
      <c r="BK601" s="255"/>
      <c r="BL601" s="255"/>
    </row>
    <row r="602" spans="1:64" x14ac:dyDescent="0.25">
      <c r="A602" s="251"/>
      <c r="B602" s="251"/>
      <c r="C602" s="257"/>
      <c r="D602" s="251"/>
      <c r="E602" s="252"/>
      <c r="F602" s="251"/>
      <c r="G602" s="251"/>
      <c r="H602" s="251"/>
      <c r="I602" s="251"/>
      <c r="J602" s="252"/>
      <c r="K602" s="253"/>
      <c r="L602" s="253"/>
      <c r="M602" s="253"/>
      <c r="N602" s="253"/>
      <c r="O602" s="252"/>
      <c r="P602" s="253"/>
      <c r="Q602" s="253"/>
      <c r="R602" s="253"/>
      <c r="S602" s="253"/>
      <c r="T602" s="252"/>
      <c r="U602" s="253"/>
      <c r="V602" s="253"/>
      <c r="W602" s="253"/>
      <c r="X602" s="253"/>
      <c r="Y602" s="252"/>
      <c r="Z602" s="253"/>
      <c r="AA602" s="253"/>
      <c r="AB602" s="253"/>
      <c r="AC602" s="253"/>
      <c r="AD602" s="252"/>
      <c r="AE602" s="253"/>
      <c r="AF602" s="253"/>
      <c r="AG602" s="253"/>
      <c r="AH602" s="253"/>
      <c r="AI602" s="252"/>
      <c r="AJ602" s="254"/>
      <c r="AK602" s="254"/>
      <c r="AL602" s="254"/>
      <c r="AM602" s="254"/>
      <c r="AN602" s="189"/>
      <c r="AO602" s="254"/>
      <c r="AP602" s="254"/>
      <c r="AQ602" s="254"/>
      <c r="AR602" s="254"/>
      <c r="AS602" s="252"/>
      <c r="AT602" s="259"/>
      <c r="AU602" s="259"/>
      <c r="AV602" s="259"/>
      <c r="AW602" s="259"/>
      <c r="AX602" s="252"/>
      <c r="AY602" s="255"/>
      <c r="AZ602" s="255"/>
      <c r="BA602" s="255"/>
      <c r="BB602" s="255"/>
      <c r="BC602" s="256"/>
      <c r="BD602" s="255"/>
      <c r="BE602" s="255"/>
      <c r="BF602" s="255"/>
      <c r="BG602" s="255"/>
      <c r="BH602" s="256"/>
      <c r="BI602" s="255"/>
      <c r="BJ602" s="255"/>
      <c r="BK602" s="255"/>
      <c r="BL602" s="255"/>
    </row>
    <row r="603" spans="1:64" x14ac:dyDescent="0.25">
      <c r="A603" s="251"/>
      <c r="B603" s="251"/>
      <c r="C603" s="257"/>
      <c r="D603" s="251"/>
      <c r="E603" s="252"/>
      <c r="F603" s="251"/>
      <c r="G603" s="251"/>
      <c r="H603" s="251"/>
      <c r="I603" s="251"/>
      <c r="J603" s="252"/>
      <c r="K603" s="253"/>
      <c r="L603" s="253"/>
      <c r="M603" s="253"/>
      <c r="N603" s="253"/>
      <c r="O603" s="252"/>
      <c r="P603" s="253"/>
      <c r="Q603" s="253"/>
      <c r="R603" s="253"/>
      <c r="S603" s="253"/>
      <c r="T603" s="252"/>
      <c r="U603" s="253"/>
      <c r="V603" s="253"/>
      <c r="W603" s="253"/>
      <c r="X603" s="253"/>
      <c r="Y603" s="252"/>
      <c r="Z603" s="253"/>
      <c r="AA603" s="253"/>
      <c r="AB603" s="253"/>
      <c r="AC603" s="253"/>
      <c r="AD603" s="252"/>
      <c r="AE603" s="253"/>
      <c r="AF603" s="253"/>
      <c r="AG603" s="253"/>
      <c r="AH603" s="253"/>
      <c r="AI603" s="252"/>
      <c r="AJ603" s="254"/>
      <c r="AK603" s="254"/>
      <c r="AL603" s="254"/>
      <c r="AM603" s="254"/>
      <c r="AN603" s="189"/>
      <c r="AO603" s="254"/>
      <c r="AP603" s="254"/>
      <c r="AQ603" s="254"/>
      <c r="AR603" s="254"/>
      <c r="AS603" s="252"/>
      <c r="AT603" s="259"/>
      <c r="AU603" s="259"/>
      <c r="AV603" s="259"/>
      <c r="AW603" s="259"/>
      <c r="AX603" s="252"/>
      <c r="AY603" s="255"/>
      <c r="AZ603" s="255"/>
      <c r="BA603" s="255"/>
      <c r="BB603" s="255"/>
      <c r="BC603" s="256"/>
      <c r="BD603" s="255"/>
      <c r="BE603" s="255"/>
      <c r="BF603" s="255"/>
      <c r="BG603" s="255"/>
      <c r="BH603" s="256"/>
      <c r="BI603" s="255"/>
      <c r="BJ603" s="255"/>
      <c r="BK603" s="255"/>
      <c r="BL603" s="255"/>
    </row>
    <row r="604" spans="1:64" x14ac:dyDescent="0.25">
      <c r="A604" s="251"/>
      <c r="B604" s="251"/>
      <c r="C604" s="257"/>
      <c r="D604" s="251"/>
      <c r="E604" s="252"/>
      <c r="F604" s="251"/>
      <c r="G604" s="251"/>
      <c r="H604" s="251"/>
      <c r="I604" s="251"/>
      <c r="J604" s="252"/>
      <c r="K604" s="253"/>
      <c r="L604" s="253"/>
      <c r="M604" s="253"/>
      <c r="N604" s="253"/>
      <c r="O604" s="252"/>
      <c r="P604" s="253"/>
      <c r="Q604" s="253"/>
      <c r="R604" s="253"/>
      <c r="S604" s="253"/>
      <c r="T604" s="252"/>
      <c r="U604" s="253"/>
      <c r="V604" s="253"/>
      <c r="W604" s="253"/>
      <c r="X604" s="253"/>
      <c r="Y604" s="252"/>
      <c r="Z604" s="253"/>
      <c r="AA604" s="253"/>
      <c r="AB604" s="253"/>
      <c r="AC604" s="253"/>
      <c r="AD604" s="252"/>
      <c r="AE604" s="253"/>
      <c r="AF604" s="253"/>
      <c r="AG604" s="253"/>
      <c r="AH604" s="253"/>
      <c r="AI604" s="252"/>
      <c r="AJ604" s="254"/>
      <c r="AK604" s="254"/>
      <c r="AL604" s="254"/>
      <c r="AM604" s="254"/>
      <c r="AN604" s="189"/>
      <c r="AO604" s="254"/>
      <c r="AP604" s="254"/>
      <c r="AQ604" s="254"/>
      <c r="AR604" s="254"/>
      <c r="AS604" s="252"/>
      <c r="AT604" s="259"/>
      <c r="AU604" s="259"/>
      <c r="AV604" s="259"/>
      <c r="AW604" s="259"/>
      <c r="AX604" s="252"/>
      <c r="AY604" s="255"/>
      <c r="AZ604" s="255"/>
      <c r="BA604" s="255"/>
      <c r="BB604" s="255"/>
      <c r="BC604" s="256"/>
      <c r="BD604" s="255"/>
      <c r="BE604" s="255"/>
      <c r="BF604" s="255"/>
      <c r="BG604" s="255"/>
      <c r="BH604" s="256"/>
      <c r="BI604" s="255"/>
      <c r="BJ604" s="255"/>
      <c r="BK604" s="255"/>
      <c r="BL604" s="255"/>
    </row>
    <row r="605" spans="1:64" x14ac:dyDescent="0.25">
      <c r="A605" s="251"/>
      <c r="B605" s="251"/>
      <c r="C605" s="257"/>
      <c r="D605" s="251"/>
      <c r="E605" s="252"/>
      <c r="F605" s="251"/>
      <c r="G605" s="251"/>
      <c r="H605" s="251"/>
      <c r="I605" s="251"/>
      <c r="J605" s="252"/>
      <c r="K605" s="253"/>
      <c r="L605" s="253"/>
      <c r="M605" s="253"/>
      <c r="N605" s="253"/>
      <c r="O605" s="252"/>
      <c r="P605" s="253"/>
      <c r="Q605" s="253"/>
      <c r="R605" s="253"/>
      <c r="S605" s="253"/>
      <c r="T605" s="252"/>
      <c r="U605" s="253"/>
      <c r="V605" s="253"/>
      <c r="W605" s="253"/>
      <c r="X605" s="253"/>
      <c r="Y605" s="252"/>
      <c r="Z605" s="253"/>
      <c r="AA605" s="253"/>
      <c r="AB605" s="253"/>
      <c r="AC605" s="253"/>
      <c r="AD605" s="252"/>
      <c r="AE605" s="253"/>
      <c r="AF605" s="253"/>
      <c r="AG605" s="253"/>
      <c r="AH605" s="253"/>
      <c r="AI605" s="252"/>
      <c r="AJ605" s="254"/>
      <c r="AK605" s="254"/>
      <c r="AL605" s="254"/>
      <c r="AM605" s="254"/>
      <c r="AN605" s="189"/>
      <c r="AO605" s="254"/>
      <c r="AP605" s="254"/>
      <c r="AQ605" s="254"/>
      <c r="AR605" s="254"/>
      <c r="AS605" s="252"/>
      <c r="AT605" s="259"/>
      <c r="AU605" s="259"/>
      <c r="AV605" s="259"/>
      <c r="AW605" s="259"/>
      <c r="AX605" s="252"/>
      <c r="AY605" s="255"/>
      <c r="AZ605" s="255"/>
      <c r="BA605" s="255"/>
      <c r="BB605" s="255"/>
      <c r="BC605" s="256"/>
      <c r="BD605" s="255"/>
      <c r="BE605" s="255"/>
      <c r="BF605" s="255"/>
      <c r="BG605" s="255"/>
      <c r="BH605" s="256"/>
      <c r="BI605" s="255"/>
      <c r="BJ605" s="255"/>
      <c r="BK605" s="255"/>
      <c r="BL605" s="255"/>
    </row>
    <row r="606" spans="1:64" x14ac:dyDescent="0.25">
      <c r="A606" s="251"/>
      <c r="B606" s="251"/>
      <c r="C606" s="257"/>
      <c r="D606" s="251"/>
      <c r="E606" s="252"/>
      <c r="F606" s="251"/>
      <c r="G606" s="251"/>
      <c r="H606" s="251"/>
      <c r="I606" s="251"/>
      <c r="J606" s="252"/>
      <c r="K606" s="253"/>
      <c r="L606" s="253"/>
      <c r="M606" s="253"/>
      <c r="N606" s="253"/>
      <c r="O606" s="252"/>
      <c r="P606" s="253"/>
      <c r="Q606" s="253"/>
      <c r="R606" s="253"/>
      <c r="S606" s="253"/>
      <c r="T606" s="252"/>
      <c r="U606" s="253"/>
      <c r="V606" s="253"/>
      <c r="W606" s="253"/>
      <c r="X606" s="253"/>
      <c r="Y606" s="252"/>
      <c r="Z606" s="253"/>
      <c r="AA606" s="253"/>
      <c r="AB606" s="253"/>
      <c r="AC606" s="253"/>
      <c r="AD606" s="252"/>
      <c r="AE606" s="253"/>
      <c r="AF606" s="253"/>
      <c r="AG606" s="253"/>
      <c r="AH606" s="253"/>
      <c r="AI606" s="252"/>
      <c r="AJ606" s="254"/>
      <c r="AK606" s="254"/>
      <c r="AL606" s="254"/>
      <c r="AM606" s="254"/>
      <c r="AN606" s="189"/>
      <c r="AO606" s="254"/>
      <c r="AP606" s="254"/>
      <c r="AQ606" s="254"/>
      <c r="AR606" s="254"/>
      <c r="AS606" s="252"/>
      <c r="AT606" s="259"/>
      <c r="AU606" s="259"/>
      <c r="AV606" s="259"/>
      <c r="AW606" s="259"/>
      <c r="AX606" s="252"/>
      <c r="AY606" s="255"/>
      <c r="AZ606" s="255"/>
      <c r="BA606" s="255"/>
      <c r="BB606" s="255"/>
      <c r="BC606" s="256"/>
      <c r="BD606" s="255"/>
      <c r="BE606" s="255"/>
      <c r="BF606" s="255"/>
      <c r="BG606" s="255"/>
      <c r="BH606" s="256"/>
      <c r="BI606" s="255"/>
      <c r="BJ606" s="255"/>
      <c r="BK606" s="255"/>
      <c r="BL606" s="255"/>
    </row>
    <row r="607" spans="1:64" x14ac:dyDescent="0.25">
      <c r="A607" s="251"/>
      <c r="B607" s="251"/>
      <c r="C607" s="257"/>
      <c r="D607" s="251"/>
      <c r="E607" s="252"/>
      <c r="F607" s="251"/>
      <c r="G607" s="251"/>
      <c r="H607" s="251"/>
      <c r="I607" s="251"/>
      <c r="J607" s="252"/>
      <c r="K607" s="253"/>
      <c r="L607" s="253"/>
      <c r="M607" s="253"/>
      <c r="N607" s="253"/>
      <c r="O607" s="252"/>
      <c r="P607" s="253"/>
      <c r="Q607" s="253"/>
      <c r="R607" s="253"/>
      <c r="S607" s="253"/>
      <c r="T607" s="252"/>
      <c r="U607" s="253"/>
      <c r="V607" s="253"/>
      <c r="W607" s="253"/>
      <c r="X607" s="253"/>
      <c r="Y607" s="252"/>
      <c r="Z607" s="253"/>
      <c r="AA607" s="253"/>
      <c r="AB607" s="253"/>
      <c r="AC607" s="253"/>
      <c r="AD607" s="252"/>
      <c r="AE607" s="253"/>
      <c r="AF607" s="253"/>
      <c r="AG607" s="253"/>
      <c r="AH607" s="253"/>
      <c r="AI607" s="252"/>
      <c r="AJ607" s="254"/>
      <c r="AK607" s="254"/>
      <c r="AL607" s="254"/>
      <c r="AM607" s="254"/>
      <c r="AN607" s="189"/>
      <c r="AO607" s="254"/>
      <c r="AP607" s="254"/>
      <c r="AQ607" s="254"/>
      <c r="AR607" s="254"/>
      <c r="AS607" s="252"/>
      <c r="AT607" s="259"/>
      <c r="AU607" s="259"/>
      <c r="AV607" s="259"/>
      <c r="AW607" s="259"/>
      <c r="AX607" s="252"/>
      <c r="AY607" s="255"/>
      <c r="AZ607" s="255"/>
      <c r="BA607" s="255"/>
      <c r="BB607" s="255"/>
      <c r="BC607" s="256"/>
      <c r="BD607" s="255"/>
      <c r="BE607" s="255"/>
      <c r="BF607" s="255"/>
      <c r="BG607" s="255"/>
      <c r="BH607" s="256"/>
      <c r="BI607" s="255"/>
      <c r="BJ607" s="255"/>
      <c r="BK607" s="255"/>
      <c r="BL607" s="255"/>
    </row>
    <row r="608" spans="1:64" x14ac:dyDescent="0.25">
      <c r="A608" s="251"/>
      <c r="B608" s="251"/>
      <c r="C608" s="257"/>
      <c r="D608" s="251"/>
      <c r="E608" s="252"/>
      <c r="F608" s="251"/>
      <c r="G608" s="251"/>
      <c r="H608" s="251"/>
      <c r="I608" s="251"/>
      <c r="J608" s="252"/>
      <c r="K608" s="253"/>
      <c r="L608" s="253"/>
      <c r="M608" s="253"/>
      <c r="N608" s="253"/>
      <c r="O608" s="252"/>
      <c r="P608" s="253"/>
      <c r="Q608" s="253"/>
      <c r="R608" s="253"/>
      <c r="S608" s="253"/>
      <c r="T608" s="252"/>
      <c r="U608" s="253"/>
      <c r="V608" s="253"/>
      <c r="W608" s="253"/>
      <c r="X608" s="253"/>
      <c r="Y608" s="252"/>
      <c r="Z608" s="253"/>
      <c r="AA608" s="253"/>
      <c r="AB608" s="253"/>
      <c r="AC608" s="253"/>
      <c r="AD608" s="252"/>
      <c r="AE608" s="253"/>
      <c r="AF608" s="253"/>
      <c r="AG608" s="253"/>
      <c r="AH608" s="253"/>
      <c r="AI608" s="252"/>
      <c r="AJ608" s="254"/>
      <c r="AK608" s="254"/>
      <c r="AL608" s="254"/>
      <c r="AM608" s="254"/>
      <c r="AN608" s="189"/>
      <c r="AO608" s="254"/>
      <c r="AP608" s="254"/>
      <c r="AQ608" s="254"/>
      <c r="AR608" s="254"/>
      <c r="AS608" s="252"/>
      <c r="AT608" s="259"/>
      <c r="AU608" s="259"/>
      <c r="AV608" s="259"/>
      <c r="AW608" s="259"/>
      <c r="AX608" s="252"/>
      <c r="AY608" s="255"/>
      <c r="AZ608" s="255"/>
      <c r="BA608" s="255"/>
      <c r="BB608" s="255"/>
      <c r="BC608" s="256"/>
      <c r="BD608" s="255"/>
      <c r="BE608" s="255"/>
      <c r="BF608" s="255"/>
      <c r="BG608" s="255"/>
      <c r="BH608" s="256"/>
      <c r="BI608" s="255"/>
      <c r="BJ608" s="255"/>
      <c r="BK608" s="255"/>
      <c r="BL608" s="255"/>
    </row>
    <row r="609" spans="1:64" x14ac:dyDescent="0.25">
      <c r="A609" s="251"/>
      <c r="B609" s="251"/>
      <c r="C609" s="257"/>
      <c r="D609" s="251"/>
      <c r="E609" s="252"/>
      <c r="F609" s="251"/>
      <c r="G609" s="251"/>
      <c r="H609" s="251"/>
      <c r="I609" s="251"/>
      <c r="J609" s="252"/>
      <c r="K609" s="253"/>
      <c r="L609" s="253"/>
      <c r="M609" s="253"/>
      <c r="N609" s="253"/>
      <c r="O609" s="252"/>
      <c r="P609" s="253"/>
      <c r="Q609" s="253"/>
      <c r="R609" s="253"/>
      <c r="S609" s="253"/>
      <c r="T609" s="252"/>
      <c r="U609" s="253"/>
      <c r="V609" s="253"/>
      <c r="W609" s="253"/>
      <c r="X609" s="253"/>
      <c r="Y609" s="252"/>
      <c r="Z609" s="253"/>
      <c r="AA609" s="253"/>
      <c r="AB609" s="253"/>
      <c r="AC609" s="253"/>
      <c r="AD609" s="252"/>
      <c r="AE609" s="253"/>
      <c r="AF609" s="253"/>
      <c r="AG609" s="253"/>
      <c r="AH609" s="253"/>
      <c r="AI609" s="252"/>
      <c r="AJ609" s="254"/>
      <c r="AK609" s="254"/>
      <c r="AL609" s="254"/>
      <c r="AM609" s="254"/>
      <c r="AN609" s="189"/>
      <c r="AO609" s="254"/>
      <c r="AP609" s="254"/>
      <c r="AQ609" s="254"/>
      <c r="AR609" s="254"/>
      <c r="AS609" s="252"/>
      <c r="AT609" s="259"/>
      <c r="AU609" s="259"/>
      <c r="AV609" s="259"/>
      <c r="AW609" s="259"/>
      <c r="AX609" s="252"/>
      <c r="AY609" s="255"/>
      <c r="AZ609" s="255"/>
      <c r="BA609" s="255"/>
      <c r="BB609" s="255"/>
      <c r="BC609" s="256"/>
      <c r="BD609" s="255"/>
      <c r="BE609" s="255"/>
      <c r="BF609" s="255"/>
      <c r="BG609" s="255"/>
      <c r="BH609" s="256"/>
      <c r="BI609" s="255"/>
      <c r="BJ609" s="255"/>
      <c r="BK609" s="255"/>
      <c r="BL609" s="25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DO44"/>
  <sheetViews>
    <sheetView topLeftCell="A4" workbookViewId="0">
      <selection activeCell="DA27" sqref="DA27"/>
    </sheetView>
  </sheetViews>
  <sheetFormatPr baseColWidth="10" defaultRowHeight="15" x14ac:dyDescent="0.25"/>
  <cols>
    <col min="1" max="1" width="11.42578125" style="1"/>
    <col min="2" max="2" width="17.28515625" style="1" bestFit="1" customWidth="1"/>
    <col min="3" max="4" width="24" style="1" customWidth="1"/>
    <col min="5" max="5" width="14.42578125" style="1" customWidth="1"/>
    <col min="6" max="6" width="2.85546875" style="1" customWidth="1"/>
    <col min="7" max="7" width="2" style="1" bestFit="1" customWidth="1"/>
    <col min="8" max="8" width="19" style="1" bestFit="1" customWidth="1"/>
    <col min="9" max="9" width="20.140625" style="1" bestFit="1" customWidth="1"/>
    <col min="10" max="10" width="19" style="1" bestFit="1" customWidth="1"/>
    <col min="11" max="11" width="5.85546875" style="1" bestFit="1" customWidth="1"/>
    <col min="12" max="12" width="6" style="1" bestFit="1" customWidth="1"/>
    <col min="13" max="13" width="11" style="1" customWidth="1"/>
    <col min="14" max="14" width="2" style="1" bestFit="1" customWidth="1"/>
    <col min="15" max="15" width="20.140625" style="1" bestFit="1" customWidth="1"/>
    <col min="16" max="16" width="2" style="1" bestFit="1" customWidth="1"/>
    <col min="17" max="19" width="4.140625" style="1" customWidth="1"/>
    <col min="20" max="20" width="2" style="1" bestFit="1" customWidth="1"/>
    <col min="21" max="21" width="4.140625" style="1" customWidth="1"/>
    <col min="22" max="22" width="18.140625" style="1" bestFit="1" customWidth="1"/>
    <col min="23" max="23" width="5" style="1" bestFit="1" customWidth="1"/>
    <col min="24" max="24" width="2" style="1" bestFit="1" customWidth="1"/>
    <col min="25" max="25" width="5.7109375" style="1" customWidth="1"/>
    <col min="26" max="26" width="2" style="1" bestFit="1" customWidth="1"/>
    <col min="27" max="27" width="5" style="1" bestFit="1" customWidth="1"/>
    <col min="28" max="28" width="2.7109375" style="1" customWidth="1"/>
    <col min="29" max="29" width="5" style="1" bestFit="1" customWidth="1"/>
    <col min="30" max="30" width="2" style="1" bestFit="1" customWidth="1"/>
    <col min="31" max="31" width="5" style="1" bestFit="1" customWidth="1"/>
    <col min="32" max="32" width="2" style="1" bestFit="1" customWidth="1"/>
    <col min="33" max="33" width="5" style="1" bestFit="1" customWidth="1"/>
    <col min="34" max="34" width="2" style="1" bestFit="1" customWidth="1"/>
    <col min="35" max="35" width="5" style="1" customWidth="1"/>
    <col min="36" max="36" width="2" style="1" bestFit="1" customWidth="1"/>
    <col min="37" max="37" width="5" style="1" bestFit="1" customWidth="1"/>
    <col min="38" max="38" width="2" style="1" bestFit="1" customWidth="1"/>
    <col min="39" max="39" width="5" style="1" customWidth="1"/>
    <col min="40" max="40" width="2" style="1" bestFit="1" customWidth="1"/>
    <col min="41" max="41" width="5" style="1" customWidth="1"/>
    <col min="42" max="42" width="2" style="1" bestFit="1" customWidth="1"/>
    <col min="43" max="43" width="5" style="1" bestFit="1" customWidth="1"/>
    <col min="44" max="44" width="2" style="1" bestFit="1" customWidth="1"/>
    <col min="45" max="45" width="5.140625" style="1" customWidth="1"/>
    <col min="46" max="46" width="2" style="1" bestFit="1" customWidth="1"/>
    <col min="47" max="47" width="5" style="1" customWidth="1"/>
    <col min="48" max="48" width="2" style="1" bestFit="1" customWidth="1"/>
    <col min="49" max="49" width="5" style="1" customWidth="1"/>
    <col min="50" max="50" width="2" style="1" bestFit="1" customWidth="1"/>
    <col min="51" max="51" width="5" style="1" customWidth="1"/>
    <col min="52" max="52" width="2" style="1" bestFit="1" customWidth="1"/>
    <col min="53" max="53" width="5" style="1" customWidth="1"/>
    <col min="54" max="54" width="2" style="1" bestFit="1" customWidth="1"/>
    <col min="55" max="55" width="5" style="1" customWidth="1"/>
    <col min="56" max="56" width="2" style="1" bestFit="1" customWidth="1"/>
    <col min="57" max="57" width="5" style="1" bestFit="1" customWidth="1"/>
    <col min="58" max="58" width="2" style="1" bestFit="1" customWidth="1"/>
    <col min="59" max="59" width="5" style="1" bestFit="1" customWidth="1"/>
    <col min="60" max="60" width="2" style="1" bestFit="1" customWidth="1"/>
    <col min="61" max="61" width="5" style="1" bestFit="1" customWidth="1"/>
    <col min="62" max="62" width="2" style="1" customWidth="1"/>
    <col min="63" max="63" width="5" style="1" bestFit="1" customWidth="1"/>
    <col min="64" max="64" width="2" style="1" bestFit="1" customWidth="1"/>
    <col min="65" max="65" width="5" style="1" bestFit="1" customWidth="1"/>
    <col min="66" max="66" width="2" style="1" bestFit="1" customWidth="1"/>
    <col min="67" max="67" width="5.85546875" style="1" bestFit="1" customWidth="1"/>
    <col min="68" max="68" width="2" style="1" bestFit="1" customWidth="1"/>
    <col min="69" max="69" width="4" style="1" bestFit="1" customWidth="1"/>
    <col min="70" max="70" width="4" style="1" customWidth="1"/>
    <col min="71" max="71" width="5" style="1" bestFit="1" customWidth="1"/>
    <col min="72" max="72" width="2" bestFit="1" customWidth="1"/>
    <col min="73" max="73" width="5" bestFit="1" customWidth="1"/>
    <col min="74" max="74" width="2" bestFit="1" customWidth="1"/>
    <col min="75" max="75" width="4.7109375" customWidth="1"/>
    <col min="76" max="76" width="2" bestFit="1" customWidth="1"/>
    <col min="77" max="77" width="5" bestFit="1" customWidth="1"/>
    <col min="78" max="78" width="2" bestFit="1" customWidth="1"/>
    <col min="79" max="79" width="5" bestFit="1" customWidth="1"/>
    <col min="80" max="80" width="2" bestFit="1" customWidth="1"/>
    <col min="81" max="81" width="5" style="1" bestFit="1" customWidth="1"/>
    <col min="82" max="82" width="2" style="1" bestFit="1" customWidth="1"/>
    <col min="83" max="83" width="5" style="1" bestFit="1" customWidth="1"/>
    <col min="84" max="84" width="2" style="1" bestFit="1" customWidth="1"/>
    <col min="85" max="85" width="5" style="1" bestFit="1" customWidth="1"/>
    <col min="86" max="86" width="2" style="1" bestFit="1" customWidth="1"/>
    <col min="87" max="87" width="5" style="1" customWidth="1"/>
    <col min="88" max="88" width="2" style="1" bestFit="1" customWidth="1"/>
    <col min="89" max="89" width="5" style="1" bestFit="1" customWidth="1"/>
    <col min="90" max="90" width="2" style="1" bestFit="1" customWidth="1"/>
    <col min="91" max="91" width="5" style="1" bestFit="1" customWidth="1"/>
    <col min="92" max="92" width="2" style="1" bestFit="1" customWidth="1"/>
    <col min="93" max="93" width="5" style="1" customWidth="1"/>
    <col min="94" max="94" width="2" style="1" bestFit="1" customWidth="1"/>
    <col min="95" max="95" width="5" style="1" customWidth="1"/>
    <col min="96" max="96" width="2" style="1" bestFit="1" customWidth="1"/>
    <col min="97" max="97" width="5" style="1" customWidth="1"/>
    <col min="98" max="98" width="2" style="1" bestFit="1" customWidth="1"/>
    <col min="99" max="99" width="5" style="1" customWidth="1"/>
    <col min="100" max="100" width="2" style="1" bestFit="1" customWidth="1"/>
    <col min="101" max="101" width="5" style="1" bestFit="1" customWidth="1"/>
    <col min="102" max="102" width="2" style="1" bestFit="1" customWidth="1"/>
    <col min="103" max="103" width="5" style="1" bestFit="1" customWidth="1"/>
    <col min="104" max="104" width="2.85546875" style="1" customWidth="1"/>
    <col min="105" max="105" width="19.7109375" style="1" bestFit="1" customWidth="1"/>
    <col min="106" max="106" width="2.42578125" style="1" customWidth="1"/>
    <col min="107" max="107" width="5" style="1" customWidth="1"/>
    <col min="108" max="108" width="2.85546875" style="1" customWidth="1"/>
    <col min="109" max="109" width="5" style="1" customWidth="1"/>
    <col min="110" max="110" width="2" style="1" bestFit="1" customWidth="1"/>
    <col min="111" max="111" width="5" style="1" bestFit="1" customWidth="1"/>
    <col min="112" max="112" width="2.42578125" style="1" customWidth="1"/>
    <col min="113" max="113" width="5" style="1" customWidth="1"/>
    <col min="114" max="114" width="2" style="1" bestFit="1" customWidth="1"/>
    <col min="115" max="115" width="5" style="1" bestFit="1" customWidth="1"/>
    <col min="116" max="116" width="2" style="1" bestFit="1" customWidth="1"/>
    <col min="117" max="117" width="5" style="1" bestFit="1" customWidth="1"/>
    <col min="118" max="118" width="2" style="1" bestFit="1" customWidth="1"/>
    <col min="119" max="119" width="20.140625" style="1" bestFit="1" customWidth="1"/>
    <col min="120" max="16384" width="11.42578125" style="1"/>
  </cols>
  <sheetData>
    <row r="1" spans="1:113" ht="15.75" thickBot="1" x14ac:dyDescent="0.3">
      <c r="A1" s="27">
        <f>A7+A10+A13</f>
        <v>9</v>
      </c>
      <c r="W1" s="1">
        <f>HLOOKUP($AA$2,$W$35:$DO$38,2,0)</f>
        <v>3</v>
      </c>
      <c r="X1" s="1">
        <f>HLOOKUP($AA$2,$W$35:$DO$38,3,0)</f>
        <v>3</v>
      </c>
      <c r="Y1" s="1">
        <f>HLOOKUP($AA$2,$W$35:$DO$38,4,0)</f>
        <v>3</v>
      </c>
      <c r="AA1" s="1" t="str">
        <f>W1&amp;X1&amp;Y1</f>
        <v>333</v>
      </c>
      <c r="AK1" s="1" t="str">
        <f>I26</f>
        <v/>
      </c>
      <c r="AL1" s="32" t="str">
        <f>J26</f>
        <v/>
      </c>
    </row>
    <row r="2" spans="1:113" x14ac:dyDescent="0.25">
      <c r="B2" s="3" t="s">
        <v>76</v>
      </c>
      <c r="C2" s="34">
        <f>C22</f>
        <v>0</v>
      </c>
      <c r="D2" s="31"/>
      <c r="W2" s="1">
        <f>A7</f>
        <v>3</v>
      </c>
      <c r="X2" s="1">
        <f>A10</f>
        <v>3</v>
      </c>
      <c r="Y2" s="1">
        <f>A13</f>
        <v>3</v>
      </c>
      <c r="Z2" s="1">
        <f>W2+X2+Y2</f>
        <v>9</v>
      </c>
      <c r="AA2" s="1" t="str">
        <f>W2&amp;X2&amp;Y2</f>
        <v>333</v>
      </c>
      <c r="AB2" s="32" t="str">
        <f>IFERROR(VLOOKUP(AA2,AA4:AB16,2,0),AB16)</f>
        <v>Aucune</v>
      </c>
      <c r="AK2" s="1" t="str">
        <f t="shared" ref="AK2:AL2" si="0">I27</f>
        <v/>
      </c>
      <c r="AL2" s="32" t="str">
        <f t="shared" si="0"/>
        <v/>
      </c>
    </row>
    <row r="3" spans="1:113" x14ac:dyDescent="0.25">
      <c r="B3" s="3" t="s">
        <v>77</v>
      </c>
      <c r="C3" s="35">
        <f>C23</f>
        <v>0</v>
      </c>
      <c r="D3" s="266"/>
      <c r="I3" s="27" t="str">
        <f>A6</f>
        <v>POULE 1</v>
      </c>
      <c r="J3" s="27" t="str">
        <f>A9</f>
        <v>POULE 2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 t="str">
        <f>A12</f>
        <v>POULE 3</v>
      </c>
      <c r="AB3" s="32"/>
      <c r="AK3" s="1" t="str">
        <f t="shared" ref="AK3:AL3" si="1">I28</f>
        <v/>
      </c>
      <c r="AL3" s="32" t="str">
        <f t="shared" si="1"/>
        <v/>
      </c>
    </row>
    <row r="4" spans="1:113" x14ac:dyDescent="0.25">
      <c r="B4" s="3" t="s">
        <v>78</v>
      </c>
      <c r="C4" s="36">
        <f>C24</f>
        <v>0</v>
      </c>
      <c r="D4" s="31"/>
      <c r="I4" s="27" t="e">
        <f>IF(C6="","",C6)</f>
        <v>#N/A</v>
      </c>
      <c r="J4" s="27" t="e">
        <f>IF(C9="","",C9)</f>
        <v>#N/A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 t="e">
        <f>IF(C12="","",C12)</f>
        <v>#N/A</v>
      </c>
      <c r="W4" s="1">
        <v>3</v>
      </c>
      <c r="X4" s="1">
        <v>3</v>
      </c>
      <c r="Y4" s="1">
        <v>3</v>
      </c>
      <c r="Z4" s="1">
        <f>W4+X4+Y4</f>
        <v>9</v>
      </c>
      <c r="AA4" s="1" t="str">
        <f>W4&amp;X4&amp;Y4</f>
        <v>333</v>
      </c>
      <c r="AB4" s="32" t="str">
        <f>V8</f>
        <v>Aucune</v>
      </c>
      <c r="AK4" s="1" t="str">
        <f t="shared" ref="AK4:AL4" si="2">I29</f>
        <v/>
      </c>
      <c r="AL4" s="32" t="str">
        <f t="shared" si="2"/>
        <v/>
      </c>
    </row>
    <row r="5" spans="1:113" ht="15.75" thickBot="1" x14ac:dyDescent="0.3">
      <c r="B5" s="1" t="s">
        <v>136</v>
      </c>
      <c r="C5" s="37" t="str">
        <f>C25</f>
        <v/>
      </c>
      <c r="D5" s="31"/>
      <c r="E5"/>
      <c r="I5" s="27" t="e">
        <f>IF(C7="","",C7)</f>
        <v>#N/A</v>
      </c>
      <c r="J5" s="27" t="e">
        <f>IF(C10="","",C10)</f>
        <v>#N/A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 t="e">
        <f>IF(C13="","",C13)</f>
        <v>#N/A</v>
      </c>
      <c r="W5" s="1">
        <v>3</v>
      </c>
      <c r="X5" s="1">
        <v>3</v>
      </c>
      <c r="Y5" s="1">
        <v>2</v>
      </c>
      <c r="Z5" s="1">
        <f t="shared" ref="Z5:Z12" si="3">W5+X5+Y5</f>
        <v>8</v>
      </c>
      <c r="AA5" s="1" t="str">
        <f>W5&amp;X5&amp;Y5</f>
        <v>332</v>
      </c>
      <c r="AB5" s="32" t="str">
        <f>V10</f>
        <v>2 et 3</v>
      </c>
      <c r="AK5" s="1" t="str">
        <f t="shared" ref="AK5:AL5" si="4">I30</f>
        <v/>
      </c>
      <c r="AL5" s="32" t="str">
        <f t="shared" si="4"/>
        <v/>
      </c>
    </row>
    <row r="6" spans="1:113" x14ac:dyDescent="0.25">
      <c r="A6" s="3" t="s">
        <v>79</v>
      </c>
      <c r="B6" s="3" t="s">
        <v>81</v>
      </c>
      <c r="C6" s="38" t="e">
        <f>IF(F37&lt;1,"",J36)</f>
        <v>#N/A</v>
      </c>
      <c r="D6" s="267"/>
      <c r="E6" s="26">
        <f>COUNTA(C6:C8)</f>
        <v>3</v>
      </c>
      <c r="I6" s="27" t="e">
        <f>IF(C8="","",C8)</f>
        <v>#N/A</v>
      </c>
      <c r="J6" s="27" t="e">
        <f>IF(C11="","",C11)</f>
        <v>#N/A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 t="e">
        <f>IF(C14="","",C14)</f>
        <v>#N/A</v>
      </c>
      <c r="W6" s="1">
        <v>3</v>
      </c>
      <c r="X6" s="1">
        <v>2</v>
      </c>
      <c r="Y6" s="1">
        <v>3</v>
      </c>
      <c r="Z6" s="1">
        <f t="shared" si="3"/>
        <v>8</v>
      </c>
      <c r="AA6" s="1" t="str">
        <f>W6&amp;X6&amp;Y6</f>
        <v>323</v>
      </c>
      <c r="AB6" s="32" t="str">
        <f>V9</f>
        <v>1 et 2</v>
      </c>
      <c r="AK6" s="1" t="str">
        <f t="shared" ref="AK6:AL6" si="5">I31</f>
        <v/>
      </c>
      <c r="AL6" s="32" t="str">
        <f t="shared" si="5"/>
        <v/>
      </c>
    </row>
    <row r="7" spans="1:113" x14ac:dyDescent="0.25">
      <c r="A7" s="26">
        <f>E6-E7</f>
        <v>3</v>
      </c>
      <c r="B7" s="3" t="s">
        <v>82</v>
      </c>
      <c r="C7" s="39" t="e">
        <f>IF(F37&lt;2,"",J37)</f>
        <v>#N/A</v>
      </c>
      <c r="D7" s="267"/>
      <c r="E7">
        <f>COUNTBLANK(C6:C8)</f>
        <v>0</v>
      </c>
      <c r="W7" s="1">
        <v>2</v>
      </c>
      <c r="X7" s="1">
        <v>3</v>
      </c>
      <c r="Y7" s="1">
        <v>3</v>
      </c>
      <c r="Z7" s="1">
        <f t="shared" si="3"/>
        <v>8</v>
      </c>
      <c r="AA7" s="1" t="str">
        <f>W7&amp;X7&amp;Y7</f>
        <v>233</v>
      </c>
      <c r="AB7" s="32" t="str">
        <f>V11</f>
        <v>3 et 1</v>
      </c>
      <c r="AK7" s="1" t="str">
        <f t="shared" ref="AK7:AL7" si="6">I32</f>
        <v/>
      </c>
      <c r="AL7" s="32" t="str">
        <f t="shared" si="6"/>
        <v/>
      </c>
    </row>
    <row r="8" spans="1:113" x14ac:dyDescent="0.25">
      <c r="A8" s="3"/>
      <c r="B8" s="3" t="s">
        <v>83</v>
      </c>
      <c r="C8" s="39" t="e">
        <f>IF(F37&lt;3,"",J38)</f>
        <v>#N/A</v>
      </c>
      <c r="D8" s="267"/>
      <c r="E8"/>
      <c r="I8" s="1" t="e">
        <f>I4</f>
        <v>#N/A</v>
      </c>
      <c r="J8" s="1" t="str">
        <f>I3</f>
        <v>POULE 1</v>
      </c>
      <c r="V8" s="1" t="s">
        <v>121</v>
      </c>
      <c r="W8" s="1">
        <v>3</v>
      </c>
      <c r="X8" s="1">
        <v>2</v>
      </c>
      <c r="Y8" s="1">
        <v>2</v>
      </c>
      <c r="Z8" s="1">
        <f t="shared" si="3"/>
        <v>7</v>
      </c>
      <c r="AA8" s="1" t="str">
        <f t="shared" ref="AA8:AA13" si="7">W8&amp;X8&amp;Y8</f>
        <v>322</v>
      </c>
      <c r="AB8" s="32" t="str">
        <f>V10</f>
        <v>2 et 3</v>
      </c>
      <c r="AK8" s="1" t="str">
        <f t="shared" ref="AK8:AL8" si="8">I33</f>
        <v/>
      </c>
      <c r="AL8" s="32" t="str">
        <f t="shared" si="8"/>
        <v/>
      </c>
    </row>
    <row r="9" spans="1:113" x14ac:dyDescent="0.25">
      <c r="A9" s="3" t="s">
        <v>80</v>
      </c>
      <c r="B9" s="3" t="s">
        <v>81</v>
      </c>
      <c r="C9" s="40" t="e">
        <f>IF(F40&lt;1,"",J39)</f>
        <v>#N/A</v>
      </c>
      <c r="D9" s="268"/>
      <c r="E9" s="26">
        <f>COUNTA(C9:C11)</f>
        <v>3</v>
      </c>
      <c r="I9" s="1" t="e">
        <f>I5</f>
        <v>#N/A</v>
      </c>
      <c r="J9" s="1" t="str">
        <f>I3</f>
        <v>POULE 1</v>
      </c>
      <c r="V9" s="1" t="s">
        <v>119</v>
      </c>
      <c r="W9" s="1">
        <v>2</v>
      </c>
      <c r="X9" s="1">
        <v>3</v>
      </c>
      <c r="Y9" s="1">
        <v>2</v>
      </c>
      <c r="Z9" s="1">
        <f t="shared" si="3"/>
        <v>7</v>
      </c>
      <c r="AA9" s="1" t="str">
        <f t="shared" si="7"/>
        <v>232</v>
      </c>
      <c r="AB9" s="32" t="str">
        <f>V11</f>
        <v>3 et 1</v>
      </c>
      <c r="AK9" s="1" t="str">
        <f t="shared" ref="AK9:AL9" si="9">I34</f>
        <v/>
      </c>
      <c r="AL9" s="32" t="str">
        <f t="shared" si="9"/>
        <v/>
      </c>
    </row>
    <row r="10" spans="1:113" x14ac:dyDescent="0.25">
      <c r="A10" s="26">
        <f>E9-E10</f>
        <v>3</v>
      </c>
      <c r="B10" s="3" t="s">
        <v>82</v>
      </c>
      <c r="C10" s="40" t="e">
        <f>IF(F40&lt;2,"",J40)</f>
        <v>#N/A</v>
      </c>
      <c r="D10" s="268"/>
      <c r="E10">
        <f>COUNTBLANK(C9:C11)</f>
        <v>0</v>
      </c>
      <c r="I10" s="1" t="e">
        <f>I6</f>
        <v>#N/A</v>
      </c>
      <c r="J10" s="1" t="str">
        <f>I3</f>
        <v>POULE 1</v>
      </c>
      <c r="V10" s="1" t="s">
        <v>120</v>
      </c>
      <c r="W10" s="1">
        <v>2</v>
      </c>
      <c r="X10" s="1">
        <v>2</v>
      </c>
      <c r="Y10" s="1">
        <v>3</v>
      </c>
      <c r="Z10" s="1">
        <f t="shared" si="3"/>
        <v>7</v>
      </c>
      <c r="AA10" s="1" t="str">
        <f t="shared" si="7"/>
        <v>223</v>
      </c>
      <c r="AB10" s="32" t="str">
        <f>V9</f>
        <v>1 et 2</v>
      </c>
    </row>
    <row r="11" spans="1:113" x14ac:dyDescent="0.25">
      <c r="B11" s="3" t="s">
        <v>83</v>
      </c>
      <c r="C11" s="40" t="e">
        <f>IF(F40&lt;3,"",J41)</f>
        <v>#N/A</v>
      </c>
      <c r="D11" s="268"/>
      <c r="I11" s="1" t="e">
        <f>J4</f>
        <v>#N/A</v>
      </c>
      <c r="J11" s="1" t="str">
        <f>J3</f>
        <v>POULE 2</v>
      </c>
      <c r="V11" s="1" t="s">
        <v>133</v>
      </c>
      <c r="W11" s="1">
        <v>3</v>
      </c>
      <c r="X11" s="1">
        <v>3</v>
      </c>
      <c r="Y11" s="1">
        <v>0</v>
      </c>
      <c r="Z11" s="1">
        <f t="shared" si="3"/>
        <v>6</v>
      </c>
      <c r="AA11" s="1" t="str">
        <f t="shared" si="7"/>
        <v>330</v>
      </c>
      <c r="AB11" s="32" t="str">
        <f>V8</f>
        <v>Aucune</v>
      </c>
    </row>
    <row r="12" spans="1:113" x14ac:dyDescent="0.25">
      <c r="A12" s="3" t="s">
        <v>112</v>
      </c>
      <c r="B12" s="3" t="s">
        <v>81</v>
      </c>
      <c r="C12" s="41" t="e">
        <f>IF(F43&lt;1,"",J42)</f>
        <v>#N/A</v>
      </c>
      <c r="D12" s="269"/>
      <c r="E12" s="26">
        <f>COUNTA(C12:C14)</f>
        <v>3</v>
      </c>
      <c r="I12" s="1" t="e">
        <f>J5</f>
        <v>#N/A</v>
      </c>
      <c r="J12" s="1" t="str">
        <f>J3</f>
        <v>POULE 2</v>
      </c>
      <c r="W12" s="1">
        <v>3</v>
      </c>
      <c r="X12" s="1">
        <v>2</v>
      </c>
      <c r="Y12" s="1">
        <v>0</v>
      </c>
      <c r="Z12" s="1">
        <f t="shared" si="3"/>
        <v>5</v>
      </c>
      <c r="AA12" s="1" t="str">
        <f t="shared" si="7"/>
        <v>320</v>
      </c>
      <c r="AB12" s="32" t="str">
        <f>V9</f>
        <v>1 et 2</v>
      </c>
    </row>
    <row r="13" spans="1:113" x14ac:dyDescent="0.25">
      <c r="A13" s="26">
        <f>E12-E13</f>
        <v>3</v>
      </c>
      <c r="B13" s="3" t="s">
        <v>82</v>
      </c>
      <c r="C13" s="41" t="e">
        <f>IF(F43&lt;2,"",J43)</f>
        <v>#N/A</v>
      </c>
      <c r="D13" s="269"/>
      <c r="E13">
        <f>COUNTBLANK(C12:C14)</f>
        <v>0</v>
      </c>
      <c r="I13" s="1" t="e">
        <f>J6</f>
        <v>#N/A</v>
      </c>
      <c r="J13" s="1" t="str">
        <f>J3</f>
        <v>POULE 2</v>
      </c>
      <c r="W13" s="1">
        <v>2</v>
      </c>
      <c r="X13" s="1">
        <v>3</v>
      </c>
      <c r="Y13" s="1">
        <v>0</v>
      </c>
      <c r="Z13" s="1">
        <f>W13+X13+Y13</f>
        <v>5</v>
      </c>
      <c r="AA13" s="1" t="str">
        <f t="shared" si="7"/>
        <v>230</v>
      </c>
      <c r="AB13" s="32" t="str">
        <f>V9</f>
        <v>1 et 2</v>
      </c>
    </row>
    <row r="14" spans="1:113" ht="15.75" thickBot="1" x14ac:dyDescent="0.3">
      <c r="B14" s="3" t="s">
        <v>83</v>
      </c>
      <c r="C14" s="42" t="e">
        <f>IF(F43&lt;3,"",J44)</f>
        <v>#N/A</v>
      </c>
      <c r="D14" s="269"/>
      <c r="I14" s="1" t="e">
        <f>V4</f>
        <v>#N/A</v>
      </c>
      <c r="J14" s="1" t="str">
        <f>V3</f>
        <v>POULE 3</v>
      </c>
      <c r="W14" s="1">
        <v>2</v>
      </c>
      <c r="X14" s="1">
        <v>2</v>
      </c>
      <c r="Y14" s="1">
        <v>0</v>
      </c>
      <c r="Z14" s="1">
        <f>W14+X14+Y14</f>
        <v>4</v>
      </c>
      <c r="AA14" s="1" t="str">
        <f>W14&amp;X14&amp;Y14</f>
        <v>220</v>
      </c>
      <c r="AB14" s="32" t="str">
        <f>V9</f>
        <v>1 et 2</v>
      </c>
      <c r="CE14"/>
      <c r="CG14"/>
      <c r="CH14"/>
      <c r="CI14"/>
      <c r="CK14"/>
      <c r="CM14"/>
      <c r="CN14"/>
      <c r="CO14"/>
      <c r="CP14"/>
      <c r="CQ14"/>
      <c r="CR14"/>
      <c r="CS14"/>
      <c r="CT14"/>
      <c r="CU14"/>
      <c r="CW14"/>
      <c r="CY14"/>
      <c r="CZ14"/>
      <c r="DA14"/>
      <c r="DB14"/>
      <c r="DC14"/>
      <c r="DD14"/>
      <c r="DE14"/>
      <c r="DG14"/>
      <c r="DI14"/>
    </row>
    <row r="15" spans="1:113" x14ac:dyDescent="0.25">
      <c r="I15" s="1" t="e">
        <f>V5</f>
        <v>#N/A</v>
      </c>
      <c r="J15" s="1" t="str">
        <f>V3</f>
        <v>POULE 3</v>
      </c>
      <c r="W15" s="1">
        <v>3</v>
      </c>
      <c r="X15" s="1">
        <v>0</v>
      </c>
      <c r="Y15" s="1">
        <v>0</v>
      </c>
      <c r="Z15" s="1">
        <f>W15+X15+Y15</f>
        <v>3</v>
      </c>
      <c r="AA15" s="1" t="str">
        <f>W15&amp;X15&amp;Y15</f>
        <v>300</v>
      </c>
      <c r="AB15" s="32" t="str">
        <f>V8</f>
        <v>Aucune</v>
      </c>
    </row>
    <row r="16" spans="1:113" x14ac:dyDescent="0.25">
      <c r="A16" s="27" t="str">
        <f>AB2</f>
        <v>Aucune</v>
      </c>
      <c r="B16" s="27" t="s">
        <v>117</v>
      </c>
      <c r="I16" s="1" t="e">
        <f>V6</f>
        <v>#N/A</v>
      </c>
      <c r="J16" s="1" t="str">
        <f>V3</f>
        <v>POULE 3</v>
      </c>
      <c r="W16" s="1">
        <v>2</v>
      </c>
      <c r="X16" s="1">
        <v>0</v>
      </c>
      <c r="Y16" s="1">
        <v>0</v>
      </c>
      <c r="Z16" s="1">
        <f>W16+X16+Y16</f>
        <v>2</v>
      </c>
      <c r="AA16" s="1" t="str">
        <f>W16&amp;X16&amp;Y16</f>
        <v>200</v>
      </c>
      <c r="AB16" s="32" t="str">
        <f>V8</f>
        <v>Aucune</v>
      </c>
      <c r="CM16"/>
      <c r="CN16"/>
      <c r="CO16"/>
      <c r="CR16"/>
      <c r="CS16"/>
      <c r="CT16"/>
      <c r="CU16"/>
    </row>
    <row r="18" spans="1:119" x14ac:dyDescent="0.25">
      <c r="CM18"/>
      <c r="CN18"/>
      <c r="CO18"/>
      <c r="CP18"/>
      <c r="CQ18"/>
      <c r="CR18"/>
      <c r="CS18"/>
      <c r="CT18"/>
      <c r="CU18"/>
    </row>
    <row r="21" spans="1:119" ht="15.75" thickBot="1" x14ac:dyDescent="0.3">
      <c r="W21" s="1">
        <f>W24+W23+W22</f>
        <v>2</v>
      </c>
      <c r="Y21" s="1">
        <f>Y24+Y23+Y22</f>
        <v>2</v>
      </c>
      <c r="AA21" s="1">
        <f>AA24+AA23+AA22</f>
        <v>3</v>
      </c>
      <c r="AC21" s="1">
        <f>AC24+AC23+AC22</f>
        <v>3</v>
      </c>
      <c r="AE21" s="1">
        <f>AE24+AE23+AE22</f>
        <v>3</v>
      </c>
      <c r="AG21" s="1">
        <f>AG24+AG23+AG22</f>
        <v>4</v>
      </c>
      <c r="AI21" s="1">
        <f>AI24+AI23+AI22</f>
        <v>4</v>
      </c>
      <c r="AK21" s="1">
        <f>AK24+AK23+AK22</f>
        <v>4</v>
      </c>
      <c r="AM21" s="1">
        <f>AM24+AM23+AM22</f>
        <v>4</v>
      </c>
      <c r="AO21" s="1">
        <f>AO24+AO23+AO22</f>
        <v>4</v>
      </c>
      <c r="AQ21" s="1">
        <f>AQ24+AQ23+AQ22</f>
        <v>4</v>
      </c>
      <c r="AS21" s="1">
        <f>AS24+AS23+AS22</f>
        <v>4</v>
      </c>
      <c r="AU21" s="1">
        <f>AU24+AU23+AU22</f>
        <v>4</v>
      </c>
      <c r="AW21" s="1">
        <f>AW24+AW23+AW22</f>
        <v>4</v>
      </c>
      <c r="AY21" s="1">
        <f>AY24+AY23+AY22</f>
        <v>4</v>
      </c>
      <c r="BA21" s="1">
        <f>BA24+BA23+BA22</f>
        <v>4</v>
      </c>
      <c r="BC21" s="1">
        <f>BC24+BC23+BC22</f>
        <v>4</v>
      </c>
      <c r="BE21" s="1">
        <f>BE24+BE23+BE22</f>
        <v>5</v>
      </c>
      <c r="BG21" s="1">
        <f>BG24+BG23+BG22</f>
        <v>5</v>
      </c>
      <c r="BI21" s="1">
        <f>BI24+BI23+BI22</f>
        <v>5</v>
      </c>
      <c r="BK21" s="1">
        <f>BK24+BK23+BK22</f>
        <v>5</v>
      </c>
      <c r="BM21" s="1">
        <f>BM24+BM23+BM22</f>
        <v>5</v>
      </c>
      <c r="BO21" s="1">
        <f>BO24+BO23+BO22</f>
        <v>5</v>
      </c>
      <c r="BQ21" s="1">
        <f>BQ24+BQ23+BQ22</f>
        <v>5</v>
      </c>
      <c r="BS21" s="1">
        <f>BS24+BS23+BS22</f>
        <v>5</v>
      </c>
      <c r="BU21" s="1">
        <f>BU24+BU23+BU22</f>
        <v>5</v>
      </c>
      <c r="BV21" s="1"/>
      <c r="BW21" s="1">
        <f>BW24+BW23+BW22</f>
        <v>5</v>
      </c>
      <c r="BX21" s="1"/>
      <c r="BY21" s="1">
        <f>BY24+BY23+BY22</f>
        <v>5</v>
      </c>
      <c r="BZ21" s="1"/>
      <c r="CA21" s="1">
        <f>CA24+CA23+CA22</f>
        <v>5</v>
      </c>
      <c r="CC21" s="1">
        <f>CC24+CC23+CC22</f>
        <v>6</v>
      </c>
      <c r="CD21"/>
      <c r="CE21" s="1">
        <f>CE24+CE23+CE22</f>
        <v>6</v>
      </c>
      <c r="CF21"/>
      <c r="CG21" s="1">
        <f>CG24+CG23+CG22</f>
        <v>6</v>
      </c>
      <c r="CI21" s="1">
        <f>CI24+CI23+CI22</f>
        <v>6</v>
      </c>
      <c r="CJ21"/>
      <c r="CK21" s="1">
        <f>CK24+CK23+CK22</f>
        <v>6</v>
      </c>
      <c r="CL21"/>
      <c r="CM21" s="1">
        <f>CM24+CM23+CM22</f>
        <v>6</v>
      </c>
      <c r="CO21" s="1">
        <f>CO24+CO23+CO22</f>
        <v>6</v>
      </c>
      <c r="CQ21" s="1">
        <f>CQ24+CQ23+CQ22</f>
        <v>6</v>
      </c>
      <c r="CS21" s="66">
        <f>CS24+CS23+CS22</f>
        <v>6</v>
      </c>
      <c r="CU21" s="66">
        <f>CU24+CU23+CU22</f>
        <v>6</v>
      </c>
      <c r="CV21"/>
      <c r="CW21" s="66">
        <f>CW24+CW23+CW22</f>
        <v>7</v>
      </c>
      <c r="CX21"/>
      <c r="CY21" s="66">
        <f>CY24+CY23+CY22</f>
        <v>7</v>
      </c>
      <c r="DA21" s="66">
        <f>DA24+DA23+DA22</f>
        <v>7</v>
      </c>
      <c r="DC21" s="66">
        <f>DC24+DC23+DC22</f>
        <v>7</v>
      </c>
      <c r="DE21" s="66">
        <f>DE24+DE23+DE22</f>
        <v>7</v>
      </c>
      <c r="DF21"/>
      <c r="DG21" s="66">
        <f>DG24+DG23+DG22</f>
        <v>7</v>
      </c>
      <c r="DH21"/>
      <c r="DI21" s="66">
        <f>DI24+DI23+DI22</f>
        <v>8</v>
      </c>
      <c r="DK21" s="66">
        <f>DK24+DK23+DK22</f>
        <v>8</v>
      </c>
      <c r="DM21" s="66">
        <f>DM24+DM23+DM22</f>
        <v>8</v>
      </c>
      <c r="DO21" s="66">
        <f>DO24+DO23+DO22</f>
        <v>9</v>
      </c>
    </row>
    <row r="22" spans="1:119" x14ac:dyDescent="0.25">
      <c r="A22" s="27" t="str">
        <f>A27&amp;A30&amp;A33</f>
        <v>000</v>
      </c>
      <c r="B22" s="1" t="s">
        <v>76</v>
      </c>
      <c r="C22" s="34">
        <f>'INSCRIPTION DES JOUEURS'!E7</f>
        <v>0</v>
      </c>
      <c r="D22" s="31"/>
      <c r="W22" s="1">
        <v>2</v>
      </c>
      <c r="Y22" s="1">
        <v>1</v>
      </c>
      <c r="AA22" s="1">
        <v>3</v>
      </c>
      <c r="AC22" s="1">
        <v>2</v>
      </c>
      <c r="AE22" s="1">
        <v>1</v>
      </c>
      <c r="AG22" s="1">
        <v>3</v>
      </c>
      <c r="AI22" s="1">
        <v>3</v>
      </c>
      <c r="AK22" s="1">
        <v>2</v>
      </c>
      <c r="AM22" s="1">
        <v>2</v>
      </c>
      <c r="AO22" s="1">
        <v>2</v>
      </c>
      <c r="AQ22" s="1">
        <v>1</v>
      </c>
      <c r="AS22" s="1">
        <v>1</v>
      </c>
      <c r="AU22" s="1">
        <v>1</v>
      </c>
      <c r="AW22" s="1">
        <v>1</v>
      </c>
      <c r="AY22" s="1">
        <v>0</v>
      </c>
      <c r="BA22" s="1">
        <v>0</v>
      </c>
      <c r="BC22" s="1">
        <v>0</v>
      </c>
      <c r="BE22" s="1">
        <v>3</v>
      </c>
      <c r="BG22" s="1">
        <v>3</v>
      </c>
      <c r="BI22" s="1">
        <v>3</v>
      </c>
      <c r="BK22" s="1">
        <v>2</v>
      </c>
      <c r="BM22" s="1">
        <v>2</v>
      </c>
      <c r="BO22" s="1">
        <v>2</v>
      </c>
      <c r="BQ22" s="1">
        <v>2</v>
      </c>
      <c r="BS22" s="1">
        <v>1</v>
      </c>
      <c r="BT22" s="1"/>
      <c r="BU22" s="1">
        <v>1</v>
      </c>
      <c r="BV22" s="1"/>
      <c r="BW22" s="1">
        <v>1</v>
      </c>
      <c r="BX22" s="1"/>
      <c r="BY22" s="1">
        <v>0</v>
      </c>
      <c r="BZ22" s="1"/>
      <c r="CA22" s="1">
        <v>0</v>
      </c>
      <c r="CC22" s="1">
        <v>3</v>
      </c>
      <c r="CD22"/>
      <c r="CE22" s="1">
        <v>3</v>
      </c>
      <c r="CF22"/>
      <c r="CG22" s="1">
        <v>3</v>
      </c>
      <c r="CI22" s="1">
        <v>3</v>
      </c>
      <c r="CJ22"/>
      <c r="CK22" s="1">
        <v>2</v>
      </c>
      <c r="CL22"/>
      <c r="CM22" s="1">
        <v>2</v>
      </c>
      <c r="CO22" s="1">
        <v>2</v>
      </c>
      <c r="CQ22" s="1">
        <v>1</v>
      </c>
      <c r="CS22" s="1">
        <v>1</v>
      </c>
      <c r="CU22" s="1">
        <v>0</v>
      </c>
      <c r="CV22"/>
      <c r="CW22" s="1">
        <v>3</v>
      </c>
      <c r="CX22"/>
      <c r="CY22" s="1">
        <v>3</v>
      </c>
      <c r="DA22" s="1">
        <v>3</v>
      </c>
      <c r="DC22" s="1">
        <v>2</v>
      </c>
      <c r="DE22" s="1">
        <v>2</v>
      </c>
      <c r="DF22"/>
      <c r="DG22" s="1">
        <v>1</v>
      </c>
      <c r="DH22"/>
      <c r="DI22" s="1">
        <v>3</v>
      </c>
      <c r="DK22" s="1">
        <v>3</v>
      </c>
      <c r="DM22" s="1">
        <v>2</v>
      </c>
      <c r="DO22" s="1">
        <v>3</v>
      </c>
    </row>
    <row r="23" spans="1:119" x14ac:dyDescent="0.25">
      <c r="A23" s="27">
        <f>A27+A30+A33</f>
        <v>0</v>
      </c>
      <c r="B23" s="1" t="s">
        <v>77</v>
      </c>
      <c r="C23" s="35">
        <f>'INSCRIPTION DES JOUEURS'!E9</f>
        <v>0</v>
      </c>
      <c r="D23" s="266"/>
      <c r="W23" s="1">
        <v>0</v>
      </c>
      <c r="Y23" s="1">
        <v>1</v>
      </c>
      <c r="AA23" s="1">
        <v>0</v>
      </c>
      <c r="AC23" s="1">
        <v>1</v>
      </c>
      <c r="AE23" s="1">
        <v>2</v>
      </c>
      <c r="AG23" s="1">
        <v>1</v>
      </c>
      <c r="AI23" s="1">
        <v>0</v>
      </c>
      <c r="AK23" s="1">
        <v>2</v>
      </c>
      <c r="AM23" s="1">
        <v>1</v>
      </c>
      <c r="AO23" s="1">
        <v>0</v>
      </c>
      <c r="AQ23" s="1">
        <v>3</v>
      </c>
      <c r="AS23" s="1">
        <v>2</v>
      </c>
      <c r="AU23" s="1">
        <v>1</v>
      </c>
      <c r="AW23" s="1">
        <v>0</v>
      </c>
      <c r="AY23" s="1">
        <v>3</v>
      </c>
      <c r="BA23" s="1">
        <v>2</v>
      </c>
      <c r="BC23" s="1">
        <v>1</v>
      </c>
      <c r="BE23" s="1">
        <v>2</v>
      </c>
      <c r="BG23" s="1">
        <v>1</v>
      </c>
      <c r="BI23" s="1">
        <v>0</v>
      </c>
      <c r="BK23" s="1">
        <v>3</v>
      </c>
      <c r="BM23" s="1">
        <v>2</v>
      </c>
      <c r="BO23" s="1">
        <v>1</v>
      </c>
      <c r="BQ23" s="1">
        <v>0</v>
      </c>
      <c r="BS23" s="1">
        <v>3</v>
      </c>
      <c r="BU23" s="1">
        <v>2</v>
      </c>
      <c r="BV23" s="1"/>
      <c r="BW23" s="1">
        <v>1</v>
      </c>
      <c r="BX23" s="1"/>
      <c r="BY23" s="1">
        <v>3</v>
      </c>
      <c r="BZ23" s="1"/>
      <c r="CA23" s="1">
        <v>2</v>
      </c>
      <c r="CC23" s="1">
        <v>3</v>
      </c>
      <c r="CD23"/>
      <c r="CE23" s="1">
        <v>2</v>
      </c>
      <c r="CF23"/>
      <c r="CG23" s="1">
        <v>1</v>
      </c>
      <c r="CI23" s="1">
        <v>0</v>
      </c>
      <c r="CJ23"/>
      <c r="CK23" s="1">
        <v>3</v>
      </c>
      <c r="CL23"/>
      <c r="CM23" s="1">
        <v>2</v>
      </c>
      <c r="CO23" s="1">
        <v>1</v>
      </c>
      <c r="CQ23" s="1">
        <v>3</v>
      </c>
      <c r="CS23" s="1">
        <v>2</v>
      </c>
      <c r="CU23" s="1">
        <v>3</v>
      </c>
      <c r="CV23"/>
      <c r="CW23" s="1">
        <v>3</v>
      </c>
      <c r="CX23"/>
      <c r="CY23" s="1">
        <v>1</v>
      </c>
      <c r="DA23" s="1">
        <v>2</v>
      </c>
      <c r="DC23" s="1">
        <v>3</v>
      </c>
      <c r="DE23" s="1">
        <v>2</v>
      </c>
      <c r="DF23"/>
      <c r="DG23" s="1">
        <v>3</v>
      </c>
      <c r="DH23"/>
      <c r="DI23" s="1">
        <v>3</v>
      </c>
      <c r="DK23" s="1">
        <v>2</v>
      </c>
      <c r="DM23" s="1">
        <v>3</v>
      </c>
      <c r="DO23" s="1">
        <v>3</v>
      </c>
    </row>
    <row r="24" spans="1:119" x14ac:dyDescent="0.25">
      <c r="B24" s="1" t="s">
        <v>78</v>
      </c>
      <c r="C24" s="36">
        <f>'INSCRIPTION DES JOUEURS'!E10</f>
        <v>0</v>
      </c>
      <c r="D24" s="31"/>
      <c r="T24" s="1">
        <f>A23</f>
        <v>0</v>
      </c>
      <c r="W24" s="1">
        <v>0</v>
      </c>
      <c r="Y24" s="1">
        <v>0</v>
      </c>
      <c r="AA24" s="1">
        <v>0</v>
      </c>
      <c r="AC24" s="1">
        <v>0</v>
      </c>
      <c r="AE24" s="1">
        <v>0</v>
      </c>
      <c r="AG24" s="1">
        <v>0</v>
      </c>
      <c r="AI24" s="1">
        <v>1</v>
      </c>
      <c r="AK24" s="1">
        <v>0</v>
      </c>
      <c r="AM24" s="1">
        <v>1</v>
      </c>
      <c r="AO24" s="1">
        <v>2</v>
      </c>
      <c r="AQ24" s="1">
        <v>0</v>
      </c>
      <c r="AS24" s="1">
        <v>1</v>
      </c>
      <c r="AU24" s="1">
        <v>2</v>
      </c>
      <c r="AW24" s="1">
        <v>3</v>
      </c>
      <c r="AY24" s="1">
        <v>1</v>
      </c>
      <c r="BA24" s="1">
        <v>2</v>
      </c>
      <c r="BC24" s="1">
        <v>3</v>
      </c>
      <c r="BE24" s="1">
        <v>0</v>
      </c>
      <c r="BG24" s="1">
        <v>1</v>
      </c>
      <c r="BI24" s="1">
        <v>2</v>
      </c>
      <c r="BK24" s="1">
        <v>0</v>
      </c>
      <c r="BM24" s="1">
        <v>1</v>
      </c>
      <c r="BO24" s="1">
        <v>2</v>
      </c>
      <c r="BQ24" s="1">
        <v>3</v>
      </c>
      <c r="BS24" s="1">
        <v>1</v>
      </c>
      <c r="BU24" s="1">
        <v>2</v>
      </c>
      <c r="BV24" s="1"/>
      <c r="BW24" s="1">
        <v>3</v>
      </c>
      <c r="BX24" s="1"/>
      <c r="BY24" s="1">
        <v>2</v>
      </c>
      <c r="BZ24" s="1"/>
      <c r="CA24" s="1">
        <v>3</v>
      </c>
      <c r="CC24" s="1">
        <v>0</v>
      </c>
      <c r="CD24"/>
      <c r="CE24" s="1">
        <v>1</v>
      </c>
      <c r="CF24"/>
      <c r="CG24" s="1">
        <v>2</v>
      </c>
      <c r="CI24" s="1">
        <v>3</v>
      </c>
      <c r="CJ24"/>
      <c r="CK24" s="1">
        <v>1</v>
      </c>
      <c r="CL24"/>
      <c r="CM24" s="1">
        <v>2</v>
      </c>
      <c r="CO24" s="1">
        <v>3</v>
      </c>
      <c r="CQ24" s="1">
        <v>2</v>
      </c>
      <c r="CS24" s="1">
        <v>3</v>
      </c>
      <c r="CU24" s="1">
        <v>3</v>
      </c>
      <c r="CV24"/>
      <c r="CW24" s="1">
        <v>1</v>
      </c>
      <c r="CX24"/>
      <c r="CY24" s="1">
        <v>3</v>
      </c>
      <c r="DA24" s="1">
        <v>2</v>
      </c>
      <c r="DC24" s="1">
        <v>2</v>
      </c>
      <c r="DE24" s="1">
        <v>3</v>
      </c>
      <c r="DF24"/>
      <c r="DG24" s="1">
        <v>3</v>
      </c>
      <c r="DH24"/>
      <c r="DI24" s="1">
        <v>2</v>
      </c>
      <c r="DK24" s="1">
        <v>3</v>
      </c>
      <c r="DM24" s="1">
        <v>3</v>
      </c>
      <c r="DO24" s="1">
        <v>3</v>
      </c>
    </row>
    <row r="25" spans="1:119" ht="15.75" thickBot="1" x14ac:dyDescent="0.3">
      <c r="B25" s="1" t="s">
        <v>136</v>
      </c>
      <c r="C25" s="60" t="str">
        <f>'INSCRIPTION DES JOUEURS'!E11</f>
        <v/>
      </c>
      <c r="D25" s="31"/>
      <c r="H25" s="1" t="str">
        <f>A23&amp;A27&amp;A30&amp;A33</f>
        <v>0000</v>
      </c>
      <c r="W25" s="1" t="str">
        <f>W$21&amp;W$22&amp;W$23&amp;W$24</f>
        <v>2200</v>
      </c>
      <c r="Y25" s="1" t="str">
        <f>Y$21&amp;Y$22&amp;Y$23&amp;Y$24</f>
        <v>2110</v>
      </c>
      <c r="AA25" s="1" t="str">
        <f>AA$21&amp;AA$22&amp;AA$23&amp;AA$24</f>
        <v>3300</v>
      </c>
      <c r="AC25" s="1" t="str">
        <f>AC$21&amp;AC$22&amp;AC$23&amp;AC$24</f>
        <v>3210</v>
      </c>
      <c r="AE25" s="1" t="str">
        <f>AE$21&amp;AE$22&amp;AE$23&amp;AE$24</f>
        <v>3120</v>
      </c>
      <c r="AG25" s="1" t="str">
        <f>AG$21&amp;AG$22&amp;AG$23&amp;AG$24</f>
        <v>4310</v>
      </c>
      <c r="AI25" s="1" t="str">
        <f>AI$21&amp;AI$22&amp;AI$23&amp;AI$24</f>
        <v>4301</v>
      </c>
      <c r="AK25" s="1" t="str">
        <f>AK$21&amp;AK$22&amp;AK$23&amp;AK$24</f>
        <v>4220</v>
      </c>
      <c r="AM25" s="1" t="str">
        <f>AM$21&amp;AM$22&amp;AM$23&amp;AM$24</f>
        <v>4211</v>
      </c>
      <c r="AO25" s="1" t="str">
        <f>AO$21&amp;AO$22&amp;AO$23&amp;AO$24</f>
        <v>4202</v>
      </c>
      <c r="AQ25" s="1" t="str">
        <f>AQ$21&amp;AQ$22&amp;AQ$23&amp;AQ$24</f>
        <v>4130</v>
      </c>
      <c r="AS25" s="1" t="str">
        <f>AS$21&amp;AS$22&amp;AS$23&amp;AS$24</f>
        <v>4121</v>
      </c>
      <c r="AU25" s="1" t="str">
        <f>AU$21&amp;AU$22&amp;AU$23&amp;AU$24</f>
        <v>4112</v>
      </c>
      <c r="AW25" s="1" t="str">
        <f>AW$21&amp;AW$22&amp;AW$23&amp;AW$24</f>
        <v>4103</v>
      </c>
      <c r="AY25" s="1" t="str">
        <f>AY$21&amp;AY$22&amp;AY$23&amp;AY$24</f>
        <v>4031</v>
      </c>
      <c r="BA25" s="1" t="str">
        <f>BA$21&amp;BA$22&amp;BA$23&amp;BA$24</f>
        <v>4022</v>
      </c>
      <c r="BC25" s="1" t="str">
        <f>BC$21&amp;BC$22&amp;BC$23&amp;BC$24</f>
        <v>4013</v>
      </c>
      <c r="BE25" s="1" t="str">
        <f>BE$21&amp;BE$22&amp;BE$23&amp;BE$24</f>
        <v>5320</v>
      </c>
      <c r="BG25" s="1" t="str">
        <f>BG$21&amp;BG$22&amp;BG$23&amp;BG$24</f>
        <v>5311</v>
      </c>
      <c r="BI25" s="1" t="str">
        <f>BI$21&amp;BI$22&amp;BI$23&amp;BI$24</f>
        <v>5302</v>
      </c>
      <c r="BK25" s="1" t="str">
        <f>BK$21&amp;BK$22&amp;BK$23&amp;BK$24</f>
        <v>5230</v>
      </c>
      <c r="BM25" s="1" t="str">
        <f>BM$21&amp;BM$22&amp;BM$23&amp;BM$24</f>
        <v>5221</v>
      </c>
      <c r="BO25" s="1" t="str">
        <f>BO$21&amp;BO$22&amp;BO$23&amp;BO$24</f>
        <v>5212</v>
      </c>
      <c r="BQ25" s="1" t="str">
        <f>BQ$21&amp;BQ$22&amp;BQ$23&amp;BQ$24</f>
        <v>5203</v>
      </c>
      <c r="BS25" s="1" t="str">
        <f>BS$21&amp;BS$22&amp;BS$23&amp;BS$24</f>
        <v>5131</v>
      </c>
      <c r="BU25" s="1" t="str">
        <f>BU$21&amp;BU$22&amp;BU$23&amp;BU$24</f>
        <v>5122</v>
      </c>
      <c r="BV25" s="1"/>
      <c r="BW25" s="1" t="str">
        <f>BW$21&amp;BW$22&amp;BW$23&amp;BW$24</f>
        <v>5113</v>
      </c>
      <c r="BX25" s="1"/>
      <c r="BY25" s="1" t="str">
        <f>BY$21&amp;BY$22&amp;BY$23&amp;BY$24</f>
        <v>5032</v>
      </c>
      <c r="BZ25" s="1"/>
      <c r="CA25" s="1" t="str">
        <f>CA$21&amp;CA$22&amp;CA$23&amp;CA$24</f>
        <v>5023</v>
      </c>
      <c r="CC25" s="1" t="str">
        <f>CC$21&amp;CC$22&amp;CC$23&amp;CC$24</f>
        <v>6330</v>
      </c>
      <c r="CD25"/>
      <c r="CE25" s="1" t="str">
        <f>CE$21&amp;CE$22&amp;CE$23&amp;CE$24</f>
        <v>6321</v>
      </c>
      <c r="CF25"/>
      <c r="CG25" s="1" t="str">
        <f>CG$21&amp;CG$22&amp;CG$23&amp;CG$24</f>
        <v>6312</v>
      </c>
      <c r="CI25" s="1" t="str">
        <f>CI$21&amp;CI$22&amp;CI$23&amp;CI$24</f>
        <v>6303</v>
      </c>
      <c r="CJ25"/>
      <c r="CK25" s="1" t="str">
        <f>CK$21&amp;CK$22&amp;CK$23&amp;CK$24</f>
        <v>6231</v>
      </c>
      <c r="CL25"/>
      <c r="CM25" s="1" t="str">
        <f>CM$21&amp;CM$22&amp;CM$23&amp;CM$24</f>
        <v>6222</v>
      </c>
      <c r="CO25" s="1" t="str">
        <f>CO$21&amp;CO$22&amp;CO$23&amp;CO$24</f>
        <v>6213</v>
      </c>
      <c r="CQ25" s="1" t="str">
        <f>CQ$21&amp;CQ$22&amp;CQ$23&amp;CQ$24</f>
        <v>6132</v>
      </c>
      <c r="CS25" s="1" t="str">
        <f>CS$21&amp;CS$22&amp;CS$23&amp;CS$24</f>
        <v>6123</v>
      </c>
      <c r="CU25" s="1" t="str">
        <f>CU$21&amp;CU$22&amp;CU$23&amp;CU$24</f>
        <v>6033</v>
      </c>
      <c r="CV25"/>
      <c r="CW25" s="1" t="str">
        <f>CW$21&amp;CW$22&amp;CW$23&amp;CW$24</f>
        <v>7331</v>
      </c>
      <c r="CX25"/>
      <c r="CY25" s="1" t="str">
        <f>CY$21&amp;CY$22&amp;CY$23&amp;CY$24</f>
        <v>7313</v>
      </c>
      <c r="DA25" s="1" t="str">
        <f>DA$21&amp;DA$22&amp;DA$23&amp;DA$24</f>
        <v>7322</v>
      </c>
      <c r="DC25" s="1" t="str">
        <f>DC$21&amp;DC$22&amp;DC$23&amp;DC$24</f>
        <v>7232</v>
      </c>
      <c r="DE25" s="1" t="str">
        <f>DE$21&amp;DE$22&amp;DE$23&amp;DE$24</f>
        <v>7223</v>
      </c>
      <c r="DF25"/>
      <c r="DG25" s="1" t="str">
        <f>DG$21&amp;DG$22&amp;DG$23&amp;DG$24</f>
        <v>7133</v>
      </c>
      <c r="DH25"/>
      <c r="DI25" s="1" t="str">
        <f>DI$21&amp;DI$22&amp;DI$23&amp;DI$24</f>
        <v>8332</v>
      </c>
      <c r="DK25" s="1" t="str">
        <f>DK$21&amp;DK$22&amp;DK$23&amp;DK$24</f>
        <v>8323</v>
      </c>
      <c r="DM25" s="1" t="str">
        <f>DM$21&amp;DM$22&amp;DM$23&amp;DM$24</f>
        <v>8233</v>
      </c>
      <c r="DO25" s="1" t="str">
        <f>DO$21&amp;DO$22&amp;DO$23&amp;DO$24</f>
        <v>9333</v>
      </c>
    </row>
    <row r="26" spans="1:119" x14ac:dyDescent="0.25">
      <c r="A26" s="1" t="str">
        <f>A6</f>
        <v>POULE 1</v>
      </c>
      <c r="B26" s="1" t="s">
        <v>81</v>
      </c>
      <c r="C26" s="45">
        <f>IF('INSCRIPTION DES JOUEURS'!K20="","",'INSCRIPTION DES JOUEURS'!K20)</f>
        <v>0</v>
      </c>
      <c r="D26" s="269" t="str">
        <f>IF(OR(C26="",C26=0),"",1)</f>
        <v/>
      </c>
      <c r="E26" s="26">
        <f>COUNTA(D26:D28)</f>
        <v>3</v>
      </c>
      <c r="F26" s="1">
        <v>1</v>
      </c>
      <c r="G26" s="1" t="str">
        <f>IF(H26="","",F26)</f>
        <v/>
      </c>
      <c r="H26" s="1" t="str">
        <f t="shared" ref="H26:H34" si="10">IF(D26="","",C26)</f>
        <v/>
      </c>
      <c r="I26" s="1" t="str">
        <f t="shared" ref="I26:I34" si="11">IFERROR(RANK($G26,$G$26:$G$34,1),"")</f>
        <v/>
      </c>
      <c r="J26" s="1" t="str">
        <f>IF(I26="","",H26)</f>
        <v/>
      </c>
      <c r="K26" s="1" t="e">
        <f>'INSCRIPTION DES JOUEURS'!#REF!</f>
        <v>#REF!</v>
      </c>
      <c r="L26" s="1" t="str">
        <f>IF(I26="","",IF(OR(I26=1,I26=2,I26=3),10000,IF(OR(I26=4,I26=5,I26=6),1000,100)))</f>
        <v/>
      </c>
      <c r="M26" s="1" t="e">
        <f>IF(K26="","",K26+L26)</f>
        <v>#REF!</v>
      </c>
      <c r="N26" s="1" t="str">
        <f>IFERROR(RANK(M26,$M$26:$M$34,0),"")</f>
        <v/>
      </c>
      <c r="O26" s="1" t="str">
        <f>J26</f>
        <v/>
      </c>
      <c r="P26" s="1">
        <v>1</v>
      </c>
      <c r="Q26" s="27" t="str">
        <f>IFERROR(VLOOKUP(P26,$N$26:$P$34,2,0),"")</f>
        <v/>
      </c>
      <c r="R26" s="27" t="str">
        <f>IFERROR(VLOOKUP(Q26,Listing!$Z$3:$AB$157,3,0),"")</f>
        <v/>
      </c>
      <c r="S26" s="27" t="str">
        <f>IF(T26="","",P26)</f>
        <v/>
      </c>
      <c r="T26" s="27" t="str">
        <f>IF(AND($T$24=3,R26=R27),Q28,IF(AND($T$24=3,R26=R28),Q27,IF(AND($T$24=3,R27=R28),Q26,IF(AND(T24=6,R26=R27),Q28,IF(AND(T24=6,R26=R28),Q27,IF(AND(T24=6,R27=R28),Q26,Q26))))))</f>
        <v/>
      </c>
      <c r="V26" s="1">
        <v>1</v>
      </c>
      <c r="X26" s="1">
        <v>1</v>
      </c>
      <c r="Y26" s="1" t="str">
        <f>IF(Y$25&lt;&gt;$H$25,"",IF(Y$25=$H$25,IFERROR(VLOOKUP($F26,$S$26:$T$34,2,0),"")))</f>
        <v/>
      </c>
      <c r="Z26" s="1">
        <v>1</v>
      </c>
      <c r="AA26" s="1" t="str">
        <f>IF(AA$25&lt;&gt;$H$25,"",IF(AA$25=$H$25,IFERROR(VLOOKUP($F26,$I$26:$J$34,2,0),"")))</f>
        <v/>
      </c>
      <c r="AB26" s="1">
        <v>1</v>
      </c>
      <c r="AC26" s="1" t="str">
        <f t="shared" ref="AC26:AC34" si="12">IF(AC$25&lt;&gt;$H$25,"",IF(AC$25=$H$25,IFERROR(VLOOKUP($F26,$I$26:$J$34,2,0),"")))</f>
        <v/>
      </c>
      <c r="AD26" s="1">
        <v>1</v>
      </c>
      <c r="AE26" s="1" t="str">
        <f>IF(AE$25&lt;&gt;$H$25,"",IF(AE$25=$H$25,IFERROR(VLOOKUP($F26,$I$26:$J$34,2,0),"")))</f>
        <v/>
      </c>
      <c r="AF26" s="1">
        <v>1</v>
      </c>
      <c r="AG26" s="1" t="str">
        <f>IF(AG$25&lt;&gt;$H$25,"",IF(AG$25=$H$25,IFERROR(VLOOKUP($F26,$I$26:$J$34,2,0),"")))</f>
        <v/>
      </c>
      <c r="AH26" s="1">
        <v>1</v>
      </c>
      <c r="AI26" s="1" t="str">
        <f>IF(AI$25&lt;&gt;$H$25,"",IF(AI$25=$H$25,IFERROR(VLOOKUP($F26,$I$26:$J$34,2,0),"")))</f>
        <v/>
      </c>
      <c r="AJ26" s="1">
        <v>1</v>
      </c>
      <c r="AK26" s="1" t="str">
        <f>IF(AK$25&lt;&gt;$H$25,"",IF(AK$25=$H$25,IFERROR(VLOOKUP($F26,$I$26:$J$34,2,0),"")))</f>
        <v/>
      </c>
      <c r="AL26" s="1">
        <v>1</v>
      </c>
      <c r="AM26" s="1" t="str">
        <f>IF(AM$25&lt;&gt;$H$25,"",IF(AM$25=$H$25,IFERROR(VLOOKUP($F26,$I$26:$J$34,2,0),"")))</f>
        <v/>
      </c>
      <c r="AN26" s="1">
        <v>1</v>
      </c>
      <c r="AO26" s="1" t="str">
        <f>IF(AO$25&lt;&gt;$H$25,"",IF(AO$25=$H$25,IFERROR(VLOOKUP($F26,$I$26:$J$34,2,0),"")))</f>
        <v/>
      </c>
      <c r="AP26" s="1">
        <v>1</v>
      </c>
      <c r="AQ26" s="1" t="str">
        <f>IF(AQ$25&lt;&gt;$H$25,"",IF(AQ$25=$H$25,IFERROR(VLOOKUP($F26,$I$26:$J$34,2,0),"")))</f>
        <v/>
      </c>
      <c r="AR26" s="1">
        <v>1</v>
      </c>
      <c r="AS26" s="1" t="str">
        <f>IF(AS$25&lt;&gt;$H$25,"",IF(AS$25=$H$25,IFERROR(VLOOKUP($F26,$I$26:$J$34,2,0),"")))</f>
        <v/>
      </c>
      <c r="AT26" s="1">
        <v>1</v>
      </c>
      <c r="AU26" s="1" t="str">
        <f>IF(AU$25&lt;&gt;$H$25,"",IF(AU$25=$H$25,IFERROR(VLOOKUP($F26,$I$26:$J$34,2,0),"")))</f>
        <v/>
      </c>
      <c r="AV26" s="1">
        <v>1</v>
      </c>
      <c r="AW26" s="1" t="str">
        <f>IF(AW$25&lt;&gt;$H$25,"",IF(AW$25=$H$25,IFERROR(VLOOKUP($F26,$I$26:$J$34,2,0),"")))</f>
        <v/>
      </c>
      <c r="AX26" s="1">
        <v>1</v>
      </c>
      <c r="AY26" s="1" t="str">
        <f>IF(AY$25&lt;&gt;$H$25,"",IF(AY$25=$H$25,IFERROR(VLOOKUP($F26,$I$26:$J$34,2,0),"")))</f>
        <v/>
      </c>
      <c r="AZ26" s="1">
        <v>1</v>
      </c>
      <c r="BA26" s="1" t="str">
        <f>IF(BA$25&lt;&gt;$H$25,"",IF(BA$25=$H$25,IFERROR(VLOOKUP($F26,$I$26:$J$34,2,0),"")))</f>
        <v/>
      </c>
      <c r="BB26" s="1">
        <v>1</v>
      </c>
      <c r="BC26" s="1" t="str">
        <f>IF(BC$25&lt;&gt;$H$25,"",IF(BC$25=$H$25,IFERROR(VLOOKUP($F26,$I$26:$J$34,2,0),"")))</f>
        <v/>
      </c>
      <c r="BD26" s="1">
        <v>1</v>
      </c>
      <c r="BE26" s="1" t="str">
        <f>IF(BE$25&lt;&gt;$H$25,"",IF(BE$25=$H$25,IFERROR(VLOOKUP($F26,$I$26:$J$34,2,0),"")))</f>
        <v/>
      </c>
      <c r="BF26" s="1">
        <v>1</v>
      </c>
      <c r="BG26" s="1" t="str">
        <f>IF(BG$25&lt;&gt;$H$25,"",IF(BG$25=$H$25,IFERROR(VLOOKUP($F26,$I$26:$J$34,2,0),"")))</f>
        <v/>
      </c>
      <c r="BH26" s="1">
        <v>1</v>
      </c>
      <c r="BI26" s="1" t="str">
        <f>IF(BI$25&lt;&gt;$H$25,"",IF(BI$25=$H$25,IFERROR(VLOOKUP($F26,$I$26:$J$34,2,0),"")))</f>
        <v/>
      </c>
      <c r="BJ26" s="1">
        <v>1</v>
      </c>
      <c r="BK26" s="1" t="str">
        <f>IF(BK$25&lt;&gt;$H$25,"",IF(BK$25=$H$25,IFERROR(VLOOKUP($F26,$I$26:$J$34,2,0),"")))</f>
        <v/>
      </c>
      <c r="BL26" s="1">
        <v>1</v>
      </c>
      <c r="BM26" s="1" t="str">
        <f>IF(BM$25&lt;&gt;$H$25,"",IF(BM$25=$H$25,IFERROR(VLOOKUP($F26,$I$26:$J$34,2,0),"")))</f>
        <v/>
      </c>
      <c r="BN26" s="1">
        <v>1</v>
      </c>
      <c r="BO26" s="1" t="str">
        <f>IF(BO$25&lt;&gt;$H$25,"",IF(BO$25=$H$25,IFERROR(VLOOKUP($F26,$I$26:$J$34,2,0),"")))</f>
        <v/>
      </c>
      <c r="BP26" s="1">
        <v>1</v>
      </c>
      <c r="BQ26" s="1" t="str">
        <f>IF(BQ$25&lt;&gt;$H$25,"",IF(BQ$25=$H$25,IFERROR(VLOOKUP($F26,$I$26:$J$34,2,0),"")))</f>
        <v/>
      </c>
      <c r="BR26" s="1">
        <v>2</v>
      </c>
      <c r="BS26" s="1" t="str">
        <f>IF(BS$25&lt;&gt;$H$25,"",IF(BS$25=$H$25,IFERROR(VLOOKUP($F27,$I$26:$J$34,2,0),"")))</f>
        <v/>
      </c>
      <c r="BT26" s="1">
        <v>2</v>
      </c>
      <c r="BU26" s="1" t="str">
        <f>IF(BU$25&lt;&gt;$H$25,"",IF(BU$25=$H$25,IFERROR(VLOOKUP($F27,$I$26:$J$34,2,0),"")))</f>
        <v/>
      </c>
      <c r="BV26" s="1">
        <v>1</v>
      </c>
      <c r="BW26" s="1" t="str">
        <f>IF(BW$25&lt;&gt;$H$25,"",IF(BW$25=$H$25,IFERROR(VLOOKUP($F26,$I$26:$J$34,2,0),"")))</f>
        <v/>
      </c>
      <c r="BX26" s="1">
        <v>1</v>
      </c>
      <c r="BY26" s="1" t="str">
        <f>IF(BY$25&lt;&gt;$H$25,"",IF(BY$25=$H$25,IFERROR(VLOOKUP($F26,$I$26:$J$34,2,0),"")))</f>
        <v/>
      </c>
      <c r="BZ26" s="1">
        <v>1</v>
      </c>
      <c r="CA26" s="1" t="str">
        <f>IF(CA$25&lt;&gt;$H$25,"",IF(CA$25=$H$25,IFERROR(VLOOKUP($F26,$I$26:$J$34,2,0),"")))</f>
        <v/>
      </c>
      <c r="CB26" s="1">
        <v>1</v>
      </c>
      <c r="CC26" s="1" t="str">
        <f>IF(CC$25&lt;&gt;$H$25,"",IF(CC$25=$H$25,IFERROR(VLOOKUP($F26,$I$26:$J$34,2,0),"")))</f>
        <v/>
      </c>
      <c r="CD26" s="1">
        <v>1</v>
      </c>
      <c r="CE26" s="1" t="str">
        <f>IF(CE$25&lt;&gt;$H$25,"",IF(CE$25=$H$25,IFERROR(VLOOKUP($F26,$I$26:$J$34,2,0),"")))</f>
        <v/>
      </c>
      <c r="CF26" s="1">
        <v>1</v>
      </c>
      <c r="CG26" s="1" t="str">
        <f>IF(CG$25&lt;&gt;$H$25,"",IF(CG$25=$H$25,IFERROR(VLOOKUP($F26,$I$26:$J$34,2,0),"")))</f>
        <v/>
      </c>
      <c r="CH26" s="1">
        <v>1</v>
      </c>
      <c r="CI26" s="1" t="str">
        <f>IF(CI$25&lt;&gt;$H$25,"",IF(CI$25=$H$25,IFERROR(VLOOKUP($F26,$I$26:$J$34,2,0),"")))</f>
        <v/>
      </c>
      <c r="CJ26" s="1">
        <v>1</v>
      </c>
      <c r="CK26" s="1" t="str">
        <f>IF(CK$25&lt;&gt;$H$25,"",IF(CK$25=$H$25,IFERROR(VLOOKUP($F26,$I$26:$J$34,2,0),"")))</f>
        <v/>
      </c>
      <c r="CL26" s="1">
        <v>1</v>
      </c>
      <c r="CM26" s="1" t="str">
        <f>IF(CM$25&lt;&gt;$H$25,"",IF(CM$25=$H$25,IFERROR(VLOOKUP($F26,$I$26:$J$34,2,0),"")))</f>
        <v/>
      </c>
      <c r="CN26" s="1">
        <v>1</v>
      </c>
      <c r="CO26" s="1" t="str">
        <f>IF(CO$25&lt;&gt;$H$25,"",IF(CO$25=$H$25,IFERROR(VLOOKUP($F26,$I$26:$J$34,2,0),"")))</f>
        <v/>
      </c>
      <c r="CP26" s="1">
        <v>2</v>
      </c>
      <c r="CQ26" s="1" t="str">
        <f>IF(CQ$25&lt;&gt;$H$25,"",IF(CQ$25=$H$25,IFERROR(VLOOKUP($F27,$I$26:$J$34,2,0),"")))</f>
        <v/>
      </c>
      <c r="CR26" s="1">
        <v>1</v>
      </c>
      <c r="CS26" s="1" t="str">
        <f>IF(CS$25&lt;&gt;$H$25,"",IF(CS$25=$H$25,IFERROR(VLOOKUP($F26,$S$26:$T$34,2,0),"")))</f>
        <v/>
      </c>
      <c r="CT26" s="1">
        <v>1</v>
      </c>
      <c r="CU26" s="1" t="str">
        <f t="shared" ref="CU26:CU34" si="13">IF(CU$25&lt;&gt;$H$25,"",IF(CU$25=$H$25,IFERROR(VLOOKUP($F26,$I$26:$J$34,2,0),"")))</f>
        <v/>
      </c>
      <c r="CV26" s="1">
        <v>1</v>
      </c>
      <c r="CW26" s="1" t="str">
        <f>IF(CW$25&lt;&gt;$H$25,"",IF(CW$25=$H$25,IFERROR(VLOOKUP($F26,$I$26:$J$34,2,0),"")))</f>
        <v/>
      </c>
      <c r="CX26" s="1">
        <v>1</v>
      </c>
      <c r="CY26" s="1" t="str">
        <f>IF(CY$25&lt;&gt;$H$25,"",IF(CY$25=$H$25,IFERROR(VLOOKUP($F26,$I$26:$J$34,2,0),"")))</f>
        <v/>
      </c>
      <c r="CZ26" s="1">
        <v>1</v>
      </c>
      <c r="DA26" s="1" t="str">
        <f>IF(DA$25&lt;&gt;$H$25,"",IF(DA$25=$H$25,IFERROR(VLOOKUP($F26,$I$26:$J$34,2,0),"")))</f>
        <v/>
      </c>
      <c r="DB26" s="1">
        <v>1</v>
      </c>
      <c r="DC26" s="1" t="str">
        <f>IF(DC$25&lt;&gt;$H$25,"",IF(DC$25=$H$25,IFERROR(VLOOKUP($F26,$I$26:$J$34,2,0),"")))</f>
        <v/>
      </c>
      <c r="DD26" s="1">
        <v>1</v>
      </c>
      <c r="DE26" s="1" t="str">
        <f>IF(DE$25&lt;&gt;$H$25,"",IF(DE$25=$H$25,IFERROR(VLOOKUP($F26,$I$26:$J$34,2,0),"")))</f>
        <v/>
      </c>
      <c r="DF26" s="1">
        <v>1</v>
      </c>
      <c r="DG26" s="1" t="str">
        <f>IF(DG$25&lt;&gt;$H$25,"",IF(DG$25=$H$25,IFERROR(VLOOKUP($F26,$I$26:$J$34,2,0),"")))</f>
        <v/>
      </c>
      <c r="DH26" s="1">
        <v>1</v>
      </c>
      <c r="DI26" s="1" t="str">
        <f>IF(DI$25&lt;&gt;$H$25,"",IF(DI$25=$H$25,IFERROR(VLOOKUP($F26,$I$26:$J$34,2,0),"")))</f>
        <v/>
      </c>
      <c r="DJ26" s="1">
        <v>1</v>
      </c>
      <c r="DK26" s="1" t="str">
        <f>IF(DK$25&lt;&gt;$H$25,"",IF(DK$25=$H$25,IFERROR(VLOOKUP($F26,$I$26:$J$34,2,0),"")))</f>
        <v/>
      </c>
      <c r="DL26" s="1">
        <v>1</v>
      </c>
      <c r="DM26" s="1" t="str">
        <f>IF(DM$25&lt;&gt;$H$25,"",IF(DM$25=$H$25,IFERROR(VLOOKUP($F26,$I$26:$J$34,2,0),"")))</f>
        <v/>
      </c>
      <c r="DN26" s="1">
        <v>1</v>
      </c>
      <c r="DO26" s="1" t="str">
        <f>IF(DO$25&lt;&gt;$H$25,"",IF(DO$25=$H$25,IFERROR(VLOOKUP($F26,$I$26:$J$34,2,0),"")))</f>
        <v/>
      </c>
    </row>
    <row r="27" spans="1:119" x14ac:dyDescent="0.25">
      <c r="A27" s="26">
        <f>E26-E27</f>
        <v>0</v>
      </c>
      <c r="B27" s="1" t="s">
        <v>82</v>
      </c>
      <c r="C27" s="41">
        <f>IF('INSCRIPTION DES JOUEURS'!K21="","",'INSCRIPTION DES JOUEURS'!K21)</f>
        <v>0</v>
      </c>
      <c r="D27" s="269" t="str">
        <f t="shared" ref="D27:D34" si="14">IF(OR(C27="",C27=0),"",1)</f>
        <v/>
      </c>
      <c r="E27">
        <f>COUNTBLANK(D26:D28)</f>
        <v>3</v>
      </c>
      <c r="F27" s="1">
        <v>2</v>
      </c>
      <c r="G27" s="1" t="str">
        <f t="shared" ref="G27:G34" si="15">IF(H27="","",F27)</f>
        <v/>
      </c>
      <c r="H27" s="1" t="str">
        <f t="shared" si="10"/>
        <v/>
      </c>
      <c r="I27" s="1" t="str">
        <f t="shared" si="11"/>
        <v/>
      </c>
      <c r="J27" s="1" t="str">
        <f>IF(I27="","",H27)</f>
        <v/>
      </c>
      <c r="K27" s="1" t="e">
        <f>'INSCRIPTION DES JOUEURS'!#REF!</f>
        <v>#REF!</v>
      </c>
      <c r="L27" s="1" t="str">
        <f t="shared" ref="L27:L34" si="16">IF(I27="","",IF(OR(I27=1,I27=2,I27=3),10000,IF(OR(I27=4,I27=5,I27=6),1000,100)))</f>
        <v/>
      </c>
      <c r="M27" s="1" t="e">
        <f t="shared" ref="M27:M34" si="17">IF(K27="","",K27+L27)</f>
        <v>#REF!</v>
      </c>
      <c r="N27" s="1" t="str">
        <f t="shared" ref="N27:N34" si="18">IFERROR(RANK(M27,$M$26:$M$34,0),"")</f>
        <v/>
      </c>
      <c r="O27" s="1" t="str">
        <f t="shared" ref="O27:O34" si="19">J27</f>
        <v/>
      </c>
      <c r="P27" s="1">
        <v>2</v>
      </c>
      <c r="Q27" s="27" t="str">
        <f t="shared" ref="Q27:Q34" si="20">IFERROR(VLOOKUP(P27,$N$26:$P$34,2,0),"")</f>
        <v/>
      </c>
      <c r="R27" s="27" t="str">
        <f>IFERROR(VLOOKUP(Q27,Listing!$Z$3:$AB$157,3,0),"")</f>
        <v/>
      </c>
      <c r="S27" s="27" t="str">
        <f t="shared" ref="S27:S34" si="21">IF(T27="","",P27)</f>
        <v/>
      </c>
      <c r="T27" s="27" t="str">
        <f>IF(AND($T$24=3,R26=R27),Q26,IF(AND($T$24=3,R26=R28),Q26,IF(AND($T$24=3,R27=R28),Q27,IF(AND($T$24=6,R27=R28),Q26,IF(AND($T$24=6,R27=R26),Q26,IF(AND(T24=6,R28=R26),Q26,Q27))))))</f>
        <v/>
      </c>
      <c r="V27" s="1">
        <v>2</v>
      </c>
      <c r="X27" s="1">
        <v>2</v>
      </c>
      <c r="Y27" s="1" t="str">
        <f t="shared" ref="Y27:Y34" si="22">IF(Y$25&lt;&gt;$H$25,"",IF(Y$25=$H$25,IFERROR(VLOOKUP($F27,$S$26:$T$34,2,0),"")))</f>
        <v/>
      </c>
      <c r="Z27" s="1">
        <v>2</v>
      </c>
      <c r="AA27" s="1" t="str">
        <f t="shared" ref="AA27:AA34" si="23">IF(AA$25&lt;&gt;$H$25,"",IF(AA$25=$H$25,IFERROR(VLOOKUP($F27,$I$26:$J$34,2,0),"")))</f>
        <v/>
      </c>
      <c r="AB27" s="1">
        <v>2</v>
      </c>
      <c r="AC27" s="1" t="str">
        <f t="shared" si="12"/>
        <v/>
      </c>
      <c r="AD27" s="1">
        <v>2</v>
      </c>
      <c r="AE27" s="1" t="str">
        <f t="shared" ref="AE27:AE34" si="24">IF(AE$25&lt;&gt;$H$25,"",IF(AE$25=$H$25,IFERROR(VLOOKUP($F27,$I$26:$J$34,2,0),"")))</f>
        <v/>
      </c>
      <c r="AF27" s="1">
        <v>3</v>
      </c>
      <c r="AG27" s="1" t="str">
        <f>IF(AG$25&lt;&gt;$H$25,"",IF(AG$25=$H$25,IFERROR(VLOOKUP($F28,$I$26:$J$34,2,0),"")))</f>
        <v/>
      </c>
      <c r="AH27" s="1">
        <v>3</v>
      </c>
      <c r="AI27" s="1" t="str">
        <f>IF(AI$25&lt;&gt;$H$25,"",IF(AI$25=$H$25,IFERROR(VLOOKUP($F28,$I$26:$J$34,2,0),"")))</f>
        <v/>
      </c>
      <c r="AJ27" s="1">
        <v>2</v>
      </c>
      <c r="AK27" s="1" t="str">
        <f t="shared" ref="AK27:AK34" si="25">IF(AK$25&lt;&gt;$H$25,"",IF(AK$25=$H$25,IFERROR(VLOOKUP($F27,$I$26:$J$34,2,0),"")))</f>
        <v/>
      </c>
      <c r="AL27" s="1">
        <v>2</v>
      </c>
      <c r="AM27" s="1" t="str">
        <f>IF(AM$25&lt;&gt;$H$25,"",IF(AM$25=$H$25,IFERROR(VLOOKUP($F27,$I$26:$J$34,2,0),"")))</f>
        <v/>
      </c>
      <c r="AN27" s="1">
        <v>2</v>
      </c>
      <c r="AO27" s="1" t="str">
        <f>IF(AO$25&lt;&gt;$H$25,"",IF(AO$25=$H$25,IFERROR(VLOOKUP($F27,$I$26:$J$34,2,0),"")))</f>
        <v/>
      </c>
      <c r="AP27" s="27">
        <v>3</v>
      </c>
      <c r="AQ27" s="1" t="str">
        <f>IF(AQ$25&lt;&gt;$H$25,"",IF(AQ$25=$H$25,IFERROR(VLOOKUP($F28,$I$26:$J$34,2,0),"")))</f>
        <v/>
      </c>
      <c r="AR27" s="1">
        <v>4</v>
      </c>
      <c r="AS27" s="1" t="str">
        <f>IF(AS$25&lt;&gt;$H$25,"",IF(AS$25=$H$25,IFERROR(VLOOKUP($F29,$I$26:$J$34,2,0),"")))</f>
        <v/>
      </c>
      <c r="AT27" s="1">
        <v>2</v>
      </c>
      <c r="AU27" s="1" t="str">
        <f>IF(AU$25&lt;&gt;$H$25,"",IF(AU$25=$H$25,IFERROR(VLOOKUP($F27,$I$26:$J$34,2,0),"")))</f>
        <v/>
      </c>
      <c r="AV27" s="1">
        <v>3</v>
      </c>
      <c r="AW27" s="1" t="str">
        <f>IF(AW$25&lt;&gt;$H$25,"",IF(AW$25=$H$25,IFERROR(VLOOKUP($F28,$I$26:$J$34,2,0),"")))</f>
        <v/>
      </c>
      <c r="AX27" s="1">
        <v>3</v>
      </c>
      <c r="AY27" s="1" t="str">
        <f>IF(AY$25&lt;&gt;$H$25,"",IF(AY$25=$H$25,IFERROR(VLOOKUP($F28,$I$26:$J$34,2,0),"")))</f>
        <v/>
      </c>
      <c r="AZ27" s="1">
        <v>2</v>
      </c>
      <c r="BA27" s="1" t="str">
        <f>IF(BA$25&lt;&gt;$H$25,"",IF(BA$25=$H$25,IFERROR(VLOOKUP($F27,$I$26:$J$34,2,0),"")))</f>
        <v/>
      </c>
      <c r="BB27" s="1">
        <v>3</v>
      </c>
      <c r="BC27" s="1" t="str">
        <f>IF(BC$25&lt;&gt;$H$25,"",IF(BC$25=$H$25,IFERROR(VLOOKUP($F28,$I$26:$J$34,2,0),"")))</f>
        <v/>
      </c>
      <c r="BD27" s="1">
        <v>2</v>
      </c>
      <c r="BE27" s="1" t="str">
        <f t="shared" ref="BE27:BE34" si="26">IF(BE$25&lt;&gt;$H$25,"",IF(BE$25=$H$25,IFERROR(VLOOKUP($F27,$I$26:$J$34,2,0),"")))</f>
        <v/>
      </c>
      <c r="BF27" s="1">
        <v>2</v>
      </c>
      <c r="BG27" s="1" t="str">
        <f t="shared" ref="BG27:BG34" si="27">IF(BG$25&lt;&gt;$H$25,"",IF(BG$25=$H$25,IFERROR(VLOOKUP($F27,$I$26:$J$34,2,0),"")))</f>
        <v/>
      </c>
      <c r="BH27" s="1">
        <v>2</v>
      </c>
      <c r="BI27" s="1" t="str">
        <f t="shared" ref="BI27:BI34" si="28">IF(BI$25&lt;&gt;$H$25,"",IF(BI$25=$H$25,IFERROR(VLOOKUP($F27,$I$26:$J$34,2,0),"")))</f>
        <v/>
      </c>
      <c r="BJ27" s="1">
        <v>2</v>
      </c>
      <c r="BK27" s="1" t="str">
        <f t="shared" ref="BK27:BK34" si="29">IF(BK$25&lt;&gt;$H$25,"",IF(BK$25=$H$25,IFERROR(VLOOKUP($F27,$I$26:$J$34,2,0),"")))</f>
        <v/>
      </c>
      <c r="BL27" s="1">
        <v>2</v>
      </c>
      <c r="BM27" s="1" t="str">
        <f t="shared" ref="BM27:BM34" si="30">IF(BM$25&lt;&gt;$H$25,"",IF(BM$25=$H$25,IFERROR(VLOOKUP($F27,$I$26:$J$34,2,0),"")))</f>
        <v/>
      </c>
      <c r="BN27" s="1">
        <v>2</v>
      </c>
      <c r="BO27" s="1" t="str">
        <f t="shared" ref="BO27:BO34" si="31">IF(BO$25&lt;&gt;$H$25,"",IF(BO$25=$H$25,IFERROR(VLOOKUP($F27,$I$26:$J$34,2,0),"")))</f>
        <v/>
      </c>
      <c r="BP27" s="1">
        <v>2</v>
      </c>
      <c r="BQ27" s="1" t="str">
        <f>IF(BQ$25&lt;&gt;$H$25,"",IF(BQ$25=$H$25,IFERROR(VLOOKUP($F27,$I$26:$J$34,2,0),"")))</f>
        <v/>
      </c>
      <c r="BR27" s="1">
        <v>3</v>
      </c>
      <c r="BS27" s="1" t="str">
        <f>IF(BS$25&lt;&gt;$H$25,"",IF(BS$25=$H$25,IFERROR(VLOOKUP($F28,$I$26:$J$34,2,0),"")))</f>
        <v/>
      </c>
      <c r="BT27" s="1">
        <v>3</v>
      </c>
      <c r="BU27" s="1" t="str">
        <f>IF(BU$25&lt;&gt;$H$25,"",IF(BU$25=$H$25,IFERROR(VLOOKUP($F28,$I$26:$J$34,2,0),"")))</f>
        <v/>
      </c>
      <c r="BV27" s="1">
        <v>2</v>
      </c>
      <c r="BW27" s="1" t="str">
        <f>IF(BW$25&lt;&gt;$H$25,"",IF(BW$25=$H$25,IFERROR(VLOOKUP($F27,$I$26:$J$34,2,0),"")))</f>
        <v/>
      </c>
      <c r="BX27" s="1">
        <v>2</v>
      </c>
      <c r="BY27" s="1" t="str">
        <f>IF(BY$25&lt;&gt;$H$25,"",IF(BY$25=$H$25,IFERROR(VLOOKUP($F27,$I$26:$J$34,2,0),"")))</f>
        <v/>
      </c>
      <c r="BZ27" s="1">
        <v>2</v>
      </c>
      <c r="CA27" s="1" t="str">
        <f>IF(CA$25&lt;&gt;$H$25,"",IF(CA$25=$H$25,IFERROR(VLOOKUP($F27,$I$26:$J$34,2,0),"")))</f>
        <v/>
      </c>
      <c r="CB27" s="1">
        <v>2</v>
      </c>
      <c r="CC27" s="1" t="str">
        <f t="shared" ref="CC27:CC34" si="32">IF(CC$25&lt;&gt;$H$25,"",IF(CC$25=$H$25,IFERROR(VLOOKUP($F27,$I$26:$J$34,2,0),"")))</f>
        <v/>
      </c>
      <c r="CD27" s="1">
        <v>2</v>
      </c>
      <c r="CE27" s="1" t="str">
        <f t="shared" ref="CE27:CE34" si="33">IF(CE$25&lt;&gt;$H$25,"",IF(CE$25=$H$25,IFERROR(VLOOKUP($F27,$I$26:$J$34,2,0),"")))</f>
        <v/>
      </c>
      <c r="CF27" s="1">
        <v>2</v>
      </c>
      <c r="CG27" s="1" t="str">
        <f t="shared" ref="CG27:CG34" si="34">IF(CG$25&lt;&gt;$H$25,"",IF(CG$25=$H$25,IFERROR(VLOOKUP($F27,$I$26:$J$34,2,0),"")))</f>
        <v/>
      </c>
      <c r="CH27" s="1">
        <v>2</v>
      </c>
      <c r="CI27" s="1" t="str">
        <f>IF(CI$25&lt;&gt;$H$25,"",IF(CI$25=$H$25,IFERROR(VLOOKUP($F27,$I$26:$J$34,2,0),"")))</f>
        <v/>
      </c>
      <c r="CJ27" s="1">
        <v>2</v>
      </c>
      <c r="CK27" s="1" t="str">
        <f t="shared" ref="CK27" si="35">IF(CK$25&lt;&gt;$H$25,"",IF(CK$25=$H$25,IFERROR(VLOOKUP($F27,$I$26:$J$34,2,0),"")))</f>
        <v/>
      </c>
      <c r="CL27" s="1">
        <v>2</v>
      </c>
      <c r="CM27" s="1" t="str">
        <f t="shared" ref="CM27" si="36">IF(CM$25&lt;&gt;$H$25,"",IF(CM$25=$H$25,IFERROR(VLOOKUP($F27,$I$26:$J$34,2,0),"")))</f>
        <v/>
      </c>
      <c r="CN27" s="1">
        <v>2</v>
      </c>
      <c r="CO27" s="1" t="str">
        <f>IF(CO$25&lt;&gt;$H$25,"",IF(CO$25=$H$25,IFERROR(VLOOKUP($F27,$I$26:$J$34,2,0),"")))</f>
        <v/>
      </c>
      <c r="CP27" s="1">
        <v>3</v>
      </c>
      <c r="CQ27" s="1" t="str">
        <f>IF(CQ$25&lt;&gt;$H$25,"",IF(CQ$25=$H$25,IFERROR(VLOOKUP($F28,$I$26:$J$34,2,0),"")))</f>
        <v/>
      </c>
      <c r="CR27" s="1">
        <v>2</v>
      </c>
      <c r="CS27" s="1" t="str">
        <f t="shared" ref="CS27:CS34" si="37">IF(CS$25&lt;&gt;$H$25,"",IF(CS$25=$H$25,IFERROR(VLOOKUP($F27,$S$26:$T$34,2,0),"")))</f>
        <v/>
      </c>
      <c r="CT27" s="1">
        <v>2</v>
      </c>
      <c r="CU27" s="1" t="str">
        <f t="shared" si="13"/>
        <v/>
      </c>
      <c r="CV27" s="1">
        <v>2</v>
      </c>
      <c r="CW27" s="1" t="str">
        <f t="shared" ref="CW27:CW32" si="38">IF(CW$25&lt;&gt;$H$25,"",IF(CW$25=$H$25,IFERROR(VLOOKUP($F27,$I$26:$J$34,2,0),"")))</f>
        <v/>
      </c>
      <c r="CX27" s="1">
        <v>3</v>
      </c>
      <c r="CY27" s="1" t="str">
        <f>IF(CY$25&lt;&gt;$H$25,"",IF(CY$25=$H$25,IFERROR(VLOOKUP($F28,$I$26:$J$34,2,0),"")))</f>
        <v/>
      </c>
      <c r="CZ27" s="1">
        <v>2</v>
      </c>
      <c r="DA27" s="1" t="str">
        <f>IF(DA$25&lt;&gt;$H$25,"",IF(DA$25=$H$25,IFERROR(VLOOKUP($F27,$I$26:$J$34,2,0),"")))</f>
        <v/>
      </c>
      <c r="DB27" s="1">
        <v>2</v>
      </c>
      <c r="DC27" s="1" t="str">
        <f>IF(DC$25&lt;&gt;$H$25,"",IF(DC$25=$H$25,IFERROR(VLOOKUP($F27,$I$26:$J$34,2,0),"")))</f>
        <v/>
      </c>
      <c r="DD27" s="1">
        <v>2</v>
      </c>
      <c r="DE27" s="1" t="str">
        <f>IF(DE$25&lt;&gt;$H$25,"",IF(DE$25=$H$25,IFERROR(VLOOKUP($F27,$I$26:$J$34,2,0),"")))</f>
        <v/>
      </c>
      <c r="DF27" s="27">
        <v>6</v>
      </c>
      <c r="DG27" s="1" t="str">
        <f>IF(DG$25&lt;&gt;$H$25,"",IF(DG$25=$H$25,IFERROR(VLOOKUP($F31,$I$26:$J$34,2,0),"")))</f>
        <v/>
      </c>
      <c r="DH27" s="1">
        <v>2</v>
      </c>
      <c r="DI27" s="1" t="str">
        <f t="shared" ref="DI27:DI34" si="39">IF(DI$25&lt;&gt;$H$25,"",IF(DI$25=$H$25,IFERROR(VLOOKUP($F27,$I$26:$J$34,2,0),"")))</f>
        <v/>
      </c>
      <c r="DJ27" s="1">
        <v>2</v>
      </c>
      <c r="DK27" s="1" t="str">
        <f t="shared" ref="DK27:DK30" si="40">IF(DK$25&lt;&gt;$H$25,"",IF(DK$25=$H$25,IFERROR(VLOOKUP($F27,$I$26:$J$34,2,0),"")))</f>
        <v/>
      </c>
      <c r="DL27" s="1">
        <v>2</v>
      </c>
      <c r="DM27" s="1" t="str">
        <f t="shared" ref="DM27" si="41">IF(DM$25&lt;&gt;$H$25,"",IF(DM$25=$H$25,IFERROR(VLOOKUP($F27,$I$26:$J$34,2,0),"")))</f>
        <v/>
      </c>
      <c r="DN27" s="1">
        <v>2</v>
      </c>
      <c r="DO27" s="1" t="str">
        <f t="shared" ref="DO27:DO34" si="42">IF(DO$25&lt;&gt;$H$25,"",IF(DO$25=$H$25,IFERROR(VLOOKUP($F27,$I$26:$J$34,2,0),"")))</f>
        <v/>
      </c>
    </row>
    <row r="28" spans="1:119" ht="15.75" thickBot="1" x14ac:dyDescent="0.3">
      <c r="B28" s="1" t="s">
        <v>83</v>
      </c>
      <c r="C28" s="61">
        <f>IF('INSCRIPTION DES JOUEURS'!K22="","",'INSCRIPTION DES JOUEURS'!K22)</f>
        <v>0</v>
      </c>
      <c r="D28" s="269" t="str">
        <f t="shared" si="14"/>
        <v/>
      </c>
      <c r="E28"/>
      <c r="F28" s="1">
        <v>3</v>
      </c>
      <c r="G28" s="1" t="str">
        <f t="shared" si="15"/>
        <v/>
      </c>
      <c r="H28" s="1" t="str">
        <f t="shared" si="10"/>
        <v/>
      </c>
      <c r="I28" s="1" t="str">
        <f t="shared" si="11"/>
        <v/>
      </c>
      <c r="J28" s="1" t="str">
        <f>IF(I28="","",H28)</f>
        <v/>
      </c>
      <c r="K28" s="1" t="e">
        <f>'INSCRIPTION DES JOUEURS'!#REF!</f>
        <v>#REF!</v>
      </c>
      <c r="L28" s="1" t="str">
        <f t="shared" si="16"/>
        <v/>
      </c>
      <c r="M28" s="1" t="e">
        <f t="shared" si="17"/>
        <v>#REF!</v>
      </c>
      <c r="N28" s="1" t="str">
        <f>IFERROR(RANK(M28,$M$26:$M$34,0),"")</f>
        <v/>
      </c>
      <c r="O28" s="1" t="str">
        <f t="shared" si="19"/>
        <v/>
      </c>
      <c r="P28" s="1">
        <v>3</v>
      </c>
      <c r="Q28" s="27" t="str">
        <f t="shared" si="20"/>
        <v/>
      </c>
      <c r="R28" s="27" t="str">
        <f>IFERROR(VLOOKUP(Q28,Listing!$Z$3:$AB$157,3,0),"")</f>
        <v/>
      </c>
      <c r="S28" s="27" t="str">
        <f t="shared" si="21"/>
        <v/>
      </c>
      <c r="T28" s="27" t="str">
        <f>IF(AND($T$24=3,R26=R27),Q27,IF(AND($T$24=3,R26=R28),Q28,IF(AND($T$24=3,R27=R28),Q28,IF(AND($T$24=6,R28=R26),Q28,IF(AND($T$24=6,R28=R27),Q28,IF(AND($T$24=6,R27=R26),Q27,Q28))))))</f>
        <v/>
      </c>
      <c r="V28" s="1">
        <v>3</v>
      </c>
      <c r="X28" s="1">
        <v>3</v>
      </c>
      <c r="Y28" s="1" t="str">
        <f t="shared" si="22"/>
        <v/>
      </c>
      <c r="Z28" s="1">
        <v>3</v>
      </c>
      <c r="AA28" s="1" t="str">
        <f t="shared" si="23"/>
        <v/>
      </c>
      <c r="AB28" s="1">
        <v>3</v>
      </c>
      <c r="AC28" s="1" t="str">
        <f t="shared" si="12"/>
        <v/>
      </c>
      <c r="AD28" s="1">
        <v>3</v>
      </c>
      <c r="AE28" s="1" t="str">
        <f t="shared" si="24"/>
        <v/>
      </c>
      <c r="AF28" s="27">
        <v>5</v>
      </c>
      <c r="AG28" s="1" t="str">
        <f>IF(AG$25&lt;&gt;$H$25,"",IF(AG$25=$H$25,IFERROR(VLOOKUP($F30,$I$26:$J$34,2,0),"")))</f>
        <v/>
      </c>
      <c r="AH28" s="1">
        <v>5</v>
      </c>
      <c r="AI28" s="1" t="str">
        <f>IF(AI$25&lt;&gt;$H$25,"",IF(AI$25=$H$25,IFERROR(VLOOKUP($F30,$I$26:$J$34,2,0),"")))</f>
        <v/>
      </c>
      <c r="AJ28" s="27">
        <v>5</v>
      </c>
      <c r="AK28" s="1" t="str">
        <f>IF(AK$25&lt;&gt;$H$25,"",IF(AK$25=$H$25,IFERROR(VLOOKUP($F30,$I$26:$J$34,2,0),"")))</f>
        <v/>
      </c>
      <c r="AL28" s="1">
        <v>5</v>
      </c>
      <c r="AM28" s="1" t="str">
        <f>IF(AM$25&lt;&gt;$H$25,"",IF(AM$25=$H$25,IFERROR(VLOOKUP($F30,$I$26:$J$34,2,0),"")))</f>
        <v/>
      </c>
      <c r="AN28" s="1">
        <v>5</v>
      </c>
      <c r="AO28" s="1" t="str">
        <f>IF(AO$25&lt;&gt;$H$25,"",IF(AO$25=$H$25,IFERROR(VLOOKUP($F30,$I$26:$J$34,2,0),"")))</f>
        <v/>
      </c>
      <c r="AP28" s="27">
        <v>5</v>
      </c>
      <c r="AQ28" s="1" t="str">
        <f>IF(AQ$25&lt;&gt;$H$25,"",IF(AQ$25=$H$25,IFERROR(VLOOKUP($F30,$I$26:$J$34,2,0),"")))</f>
        <v/>
      </c>
      <c r="AR28" s="1">
        <v>5</v>
      </c>
      <c r="AS28" s="1" t="str">
        <f>IF(AS$25&lt;&gt;$H$25,"",IF(AS$25=$H$25,IFERROR(VLOOKUP($F30,$I$26:$J$34,2,0),"")))</f>
        <v/>
      </c>
      <c r="AT28" s="1">
        <v>5</v>
      </c>
      <c r="AU28" s="1" t="str">
        <f>IF(AU$25&lt;&gt;$H$25,"",IF(AU$25=$H$25,IFERROR(VLOOKUP($F30,$I$26:$J$34,2,0),"")))</f>
        <v/>
      </c>
      <c r="AV28" s="1">
        <v>5</v>
      </c>
      <c r="AW28" s="1" t="str">
        <f>IF(AW$25&lt;&gt;$H$25,"",IF(AW$25=$H$25,IFERROR(VLOOKUP($F30,$I$26:$J$34,2,0),"")))</f>
        <v/>
      </c>
      <c r="AX28" s="1">
        <v>5</v>
      </c>
      <c r="AY28" s="1" t="str">
        <f>IF(AY$25&lt;&gt;$H$25,"",IF(AY$25=$H$25,IFERROR(VLOOKUP($F30,$I$26:$J$34,2,0),"")))</f>
        <v/>
      </c>
      <c r="AZ28" s="1">
        <v>5</v>
      </c>
      <c r="BA28" s="1" t="str">
        <f>IF(BA$25&lt;&gt;$H$25,"",IF(BA$25=$H$25,IFERROR(VLOOKUP($F30,$I$26:$J$34,2,0),"")))</f>
        <v/>
      </c>
      <c r="BB28" s="1">
        <v>5</v>
      </c>
      <c r="BC28" s="1" t="str">
        <f>IF(BC$25&lt;&gt;$H$25,"",IF(BC$25=$H$25,IFERROR(VLOOKUP($F30,$I$26:$J$34,2,0),"")))</f>
        <v/>
      </c>
      <c r="BD28" s="1">
        <v>3</v>
      </c>
      <c r="BE28" s="1" t="str">
        <f t="shared" si="26"/>
        <v/>
      </c>
      <c r="BF28" s="1">
        <v>3</v>
      </c>
      <c r="BG28" s="1" t="str">
        <f t="shared" si="27"/>
        <v/>
      </c>
      <c r="BH28" s="1">
        <v>3</v>
      </c>
      <c r="BI28" s="1" t="str">
        <f t="shared" si="28"/>
        <v/>
      </c>
      <c r="BJ28" s="27">
        <v>6</v>
      </c>
      <c r="BK28" s="1" t="str">
        <f>IF(BK$25&lt;&gt;$H$25,"",IF(BK$25=$H$25,IFERROR(VLOOKUP($F31,$I$26:$J$34,2,0),"")))</f>
        <v/>
      </c>
      <c r="BL28" s="1">
        <v>5</v>
      </c>
      <c r="BM28" s="1" t="str">
        <f>IF(BM$25&lt;&gt;$H$25,"",IF(BM$25=$H$25,IFERROR(VLOOKUP($F30,$I$26:$J$34,2,0),"")))</f>
        <v/>
      </c>
      <c r="BN28" s="1">
        <v>3</v>
      </c>
      <c r="BO28" s="1" t="str">
        <f t="shared" si="31"/>
        <v/>
      </c>
      <c r="BP28" s="1">
        <v>6</v>
      </c>
      <c r="BQ28" s="1" t="str">
        <f>IF(BQ$25&lt;&gt;$H$25,"",IF(BQ$25=$H$25,IFERROR(VLOOKUP($F31,$I$26:$J$34,2,0),"")))</f>
        <v/>
      </c>
      <c r="BR28" s="1">
        <v>4</v>
      </c>
      <c r="BS28" s="1" t="str">
        <f>IF(BS$25&lt;&gt;$H$25,"",IF(BS$25=$H$25,IFERROR(VLOOKUP($F29,$I$26:$J$34,2,0),"")))</f>
        <v/>
      </c>
      <c r="BT28" s="27">
        <v>6</v>
      </c>
      <c r="BU28" s="1" t="str">
        <f>IF(BU$25&lt;&gt;$H$25,"",IF(BU$25=$H$25,IFERROR(VLOOKUP($F31,$I$26:$J$34,2,0),"")))</f>
        <v/>
      </c>
      <c r="BV28" s="1">
        <v>6</v>
      </c>
      <c r="BW28" s="1" t="str">
        <f>IF(BW$25&lt;&gt;$H$25,"",IF(BW$25=$H$25,IFERROR(VLOOKUP($F31,$I$26:$J$34,2,0),"")))</f>
        <v/>
      </c>
      <c r="BX28" s="1">
        <v>3</v>
      </c>
      <c r="BY28" s="1" t="str">
        <f t="shared" ref="BW28:CA34" si="43">IF(BY$25&lt;&gt;$H$25,"",IF(BY$25=$H$25,IFERROR(VLOOKUP($F28,$I$26:$J$34,2,0),"")))</f>
        <v/>
      </c>
      <c r="BZ28" s="1">
        <v>6</v>
      </c>
      <c r="CA28" s="1" t="str">
        <f>IF(CA$25&lt;&gt;$H$25,"",IF(CA$25=$H$25,IFERROR(VLOOKUP($F31,$I$26:$J$34,2,0),"")))</f>
        <v/>
      </c>
      <c r="CB28" s="1">
        <v>3</v>
      </c>
      <c r="CC28" s="1" t="str">
        <f t="shared" si="32"/>
        <v/>
      </c>
      <c r="CD28" s="1">
        <v>3</v>
      </c>
      <c r="CE28" s="1" t="str">
        <f t="shared" si="33"/>
        <v/>
      </c>
      <c r="CF28" s="1">
        <v>3</v>
      </c>
      <c r="CG28" s="1" t="str">
        <f t="shared" si="34"/>
        <v/>
      </c>
      <c r="CH28" s="1">
        <v>3</v>
      </c>
      <c r="CI28" s="1" t="str">
        <f t="shared" ref="CI28:CI34" si="44">IF(CI$25&lt;&gt;$H$25,"",IF(CI$25=$H$25,IFERROR(VLOOKUP($F28,$I$26:$J$34,2,0),"")))</f>
        <v/>
      </c>
      <c r="CJ28" s="27">
        <v>6</v>
      </c>
      <c r="CK28" s="1" t="str">
        <f>IF(CK$25&lt;&gt;$H$25,"",IF(CK$25=$H$25,IFERROR(VLOOKUP($F31,$I$26:$J$34,2,0),"")))</f>
        <v/>
      </c>
      <c r="CL28" s="27">
        <v>5</v>
      </c>
      <c r="CM28" s="1" t="str">
        <f>IF(CM$25&lt;&gt;$H$25,"",IF(CM$25=$H$25,IFERROR(VLOOKUP($F30,$I$26:$J$34,2,0),"")))</f>
        <v/>
      </c>
      <c r="CN28" s="1">
        <v>3</v>
      </c>
      <c r="CO28" s="1" t="str">
        <f t="shared" ref="CO28:CO34" si="45">IF(CO$25&lt;&gt;$H$25,"",IF(CO$25=$H$25,IFERROR(VLOOKUP($F28,$I$26:$J$34,2,0),"")))</f>
        <v/>
      </c>
      <c r="CP28" s="1">
        <v>4</v>
      </c>
      <c r="CQ28" s="1" t="str">
        <f>IF(CQ$25&lt;&gt;$H$25,"",IF(CQ$25=$H$25,IFERROR(VLOOKUP($F29,$I$26:$J$34,2,0),"")))</f>
        <v/>
      </c>
      <c r="CR28" s="1">
        <v>3</v>
      </c>
      <c r="CS28" s="1" t="str">
        <f t="shared" si="37"/>
        <v/>
      </c>
      <c r="CT28" s="1">
        <v>3</v>
      </c>
      <c r="CU28" s="1" t="str">
        <f t="shared" si="13"/>
        <v/>
      </c>
      <c r="CV28" s="1">
        <v>3</v>
      </c>
      <c r="CW28" s="1" t="str">
        <f t="shared" si="38"/>
        <v/>
      </c>
      <c r="CX28" s="1">
        <v>8</v>
      </c>
      <c r="CY28" s="1" t="str">
        <f>IF(CY$25&lt;&gt;$H$25,"",IF(CY$25=$H$25,IFERROR(VLOOKUP($F33,$I$26:$J$34,2,0),"")))</f>
        <v/>
      </c>
      <c r="CZ28" s="1">
        <v>3</v>
      </c>
      <c r="DA28" s="1" t="str">
        <f>IF(DA$25&lt;&gt;$H$25,"",IF(DA$25=$H$25,IFERROR(VLOOKUP($F28,$I$26:$J$34,2,0),"")))</f>
        <v/>
      </c>
      <c r="DB28" s="1">
        <v>8</v>
      </c>
      <c r="DC28" s="1" t="str">
        <f>IF(DC$25&lt;&gt;$H$25,"",IF(DC$25=$H$25,IFERROR(VLOOKUP($F33,$I$26:$J$34,2,0),"")))</f>
        <v/>
      </c>
      <c r="DD28" s="1">
        <v>8</v>
      </c>
      <c r="DE28" s="1" t="str">
        <f>IF(DE$25&lt;&gt;$H$25,"",IF(DE$25=$H$25,IFERROR(VLOOKUP($F33,$I$26:$J$34,2,0),"")))</f>
        <v/>
      </c>
      <c r="DF28" s="1">
        <v>8</v>
      </c>
      <c r="DG28" s="1" t="str">
        <f>IF(DG$25&lt;&gt;$H$25,"",IF(DG$25=$H$25,IFERROR(VLOOKUP($F33,$I$26:$J$34,2,0),"")))</f>
        <v/>
      </c>
      <c r="DH28" s="1">
        <v>3</v>
      </c>
      <c r="DI28" s="1" t="str">
        <f t="shared" si="39"/>
        <v/>
      </c>
      <c r="DJ28" s="1">
        <v>3</v>
      </c>
      <c r="DK28" s="1" t="str">
        <f t="shared" si="40"/>
        <v/>
      </c>
      <c r="DL28" s="27">
        <v>9</v>
      </c>
      <c r="DM28" s="1" t="str">
        <f>IF(DM$25&lt;&gt;$H$25,"",IF(DM$25=$H$25,IFERROR(VLOOKUP($F34,$I$26:$J$34,2,0),"")))</f>
        <v/>
      </c>
      <c r="DN28" s="1">
        <v>3</v>
      </c>
      <c r="DO28" s="1" t="str">
        <f t="shared" si="42"/>
        <v/>
      </c>
    </row>
    <row r="29" spans="1:119" x14ac:dyDescent="0.25">
      <c r="A29" s="1" t="str">
        <f>A9</f>
        <v>POULE 2</v>
      </c>
      <c r="B29" s="1" t="s">
        <v>81</v>
      </c>
      <c r="C29" s="45">
        <f>IF('INSCRIPTION DES JOUEURS'!K25="","",'INSCRIPTION DES JOUEURS'!K25)</f>
        <v>0</v>
      </c>
      <c r="D29" s="269" t="str">
        <f t="shared" si="14"/>
        <v/>
      </c>
      <c r="E29" s="26">
        <f>COUNTA(D29:D31)</f>
        <v>3</v>
      </c>
      <c r="F29" s="1">
        <v>4</v>
      </c>
      <c r="G29" s="1" t="str">
        <f t="shared" si="15"/>
        <v/>
      </c>
      <c r="H29" s="1" t="str">
        <f t="shared" si="10"/>
        <v/>
      </c>
      <c r="I29" s="1" t="str">
        <f t="shared" si="11"/>
        <v/>
      </c>
      <c r="J29" s="1" t="str">
        <f>IF(I29="","",H29)</f>
        <v/>
      </c>
      <c r="K29" s="1" t="e">
        <f>'INSCRIPTION DES JOUEURS'!#REF!</f>
        <v>#REF!</v>
      </c>
      <c r="L29" s="1" t="str">
        <f t="shared" si="16"/>
        <v/>
      </c>
      <c r="M29" s="1" t="e">
        <f t="shared" si="17"/>
        <v>#REF!</v>
      </c>
      <c r="N29" s="1" t="str">
        <f t="shared" si="18"/>
        <v/>
      </c>
      <c r="O29" s="1" t="str">
        <f t="shared" si="19"/>
        <v/>
      </c>
      <c r="P29" s="1">
        <v>4</v>
      </c>
      <c r="Q29" s="27" t="str">
        <f t="shared" si="20"/>
        <v/>
      </c>
      <c r="R29" s="27" t="str">
        <f>IFERROR(VLOOKUP(Q29,Listing!$Z$3:$AB$157,3,0),"")</f>
        <v/>
      </c>
      <c r="S29" s="27" t="str">
        <f t="shared" si="21"/>
        <v/>
      </c>
      <c r="T29" s="27" t="str">
        <f>IF(AND(T27=6,R29=R30),Q31,IF(AND(T27=6,R29=R31),Q30,IF(AND(T27=6,R30=R31),Q29,Q29)))</f>
        <v/>
      </c>
      <c r="V29" s="1">
        <v>4</v>
      </c>
      <c r="X29" s="1">
        <v>4</v>
      </c>
      <c r="Y29" s="1" t="str">
        <f t="shared" si="22"/>
        <v/>
      </c>
      <c r="Z29" s="1">
        <v>4</v>
      </c>
      <c r="AA29" s="1" t="str">
        <f t="shared" si="23"/>
        <v/>
      </c>
      <c r="AB29" s="1">
        <v>4</v>
      </c>
      <c r="AC29" s="1" t="str">
        <f t="shared" si="12"/>
        <v/>
      </c>
      <c r="AD29" s="1">
        <v>4</v>
      </c>
      <c r="AE29" s="1" t="str">
        <f t="shared" si="24"/>
        <v/>
      </c>
      <c r="AF29" s="1">
        <v>4</v>
      </c>
      <c r="AG29" s="1" t="str">
        <f t="shared" ref="AG29:AG34" si="46">IF(AG$25&lt;&gt;$H$25,"",IF(AG$25=$H$25,IFERROR(VLOOKUP($F29,$I$26:$J$34,2,0),"")))</f>
        <v/>
      </c>
      <c r="AH29" s="1">
        <v>2</v>
      </c>
      <c r="AI29" s="1" t="str">
        <f>IF(AI$25&lt;&gt;$H$25,"",IF(AI$25=$H$25,IFERROR(VLOOKUP($F27,$I$26:$J$34,2,0),"")))</f>
        <v/>
      </c>
      <c r="AJ29" s="1">
        <v>3</v>
      </c>
      <c r="AK29" s="1" t="str">
        <f>IF(AK$25&lt;&gt;$H$25,"",IF(AK$25=$H$25,IFERROR(VLOOKUP($F28,$I$26:$J$34,2,0),"")))</f>
        <v/>
      </c>
      <c r="AL29" s="1">
        <v>3</v>
      </c>
      <c r="AM29" s="1" t="str">
        <f>IF(AM$25&lt;&gt;$H$25,"",IF(AM$25=$H$25,IFERROR(VLOOKUP($F28,$I$26:$J$34,2,0),"")))</f>
        <v/>
      </c>
      <c r="AN29" s="1">
        <v>3</v>
      </c>
      <c r="AO29" s="1" t="str">
        <f>IF(AO$25&lt;&gt;$H$25,"",IF(AO$25=$H$25,IFERROR(VLOOKUP($F28,$I$26:$J$34,2,0),"")))</f>
        <v/>
      </c>
      <c r="AP29" s="33">
        <v>2</v>
      </c>
      <c r="AQ29" s="1" t="str">
        <f>IF(AQ$25&lt;&gt;$H$25,"",IF(AQ$25=$H$25,IFERROR(VLOOKUP($F27,$I$26:$J$34,2,0),"")))</f>
        <v/>
      </c>
      <c r="AR29" s="1">
        <v>2</v>
      </c>
      <c r="AS29" s="1" t="str">
        <f>IF(AS$25&lt;&gt;$H$25,"",IF(AS$25=$H$25,IFERROR(VLOOKUP($F27,$I$26:$J$34,2,0),"")))</f>
        <v/>
      </c>
      <c r="AT29" s="1">
        <v>3</v>
      </c>
      <c r="AU29" s="1" t="str">
        <f>IF(AU$25&lt;&gt;$H$25,"",IF(AU$25=$H$25,IFERROR(VLOOKUP($F28,$I$26:$J$34,2,0),"")))</f>
        <v/>
      </c>
      <c r="AV29" s="1">
        <v>2</v>
      </c>
      <c r="AW29" s="1" t="str">
        <f>IF(AW$25&lt;&gt;$H$25,"",IF(AW$25=$H$25,IFERROR(VLOOKUP($F27,$I$26:$J$34,2,0),"")))</f>
        <v/>
      </c>
      <c r="AX29" s="1">
        <v>2</v>
      </c>
      <c r="AY29" s="1" t="str">
        <f>IF(AY$25&lt;&gt;$H$25,"",IF(AY$25=$H$25,IFERROR(VLOOKUP($F27,$I$26:$J$34,2,0),"")))</f>
        <v/>
      </c>
      <c r="AZ29" s="1">
        <v>3</v>
      </c>
      <c r="BA29" s="1" t="str">
        <f>IF(BA$25&lt;&gt;$H$25,"",IF(BA$25=$H$25,IFERROR(VLOOKUP($F28,$I$26:$J$34,2,0),"")))</f>
        <v/>
      </c>
      <c r="BB29" s="1">
        <v>2</v>
      </c>
      <c r="BC29" s="1" t="str">
        <f>IF(BC$25&lt;&gt;$H$25,"",IF(BC$25=$H$25,IFERROR(VLOOKUP($F27,$I$26:$J$34,2,0),"")))</f>
        <v/>
      </c>
      <c r="BD29" s="1">
        <v>4</v>
      </c>
      <c r="BE29" s="1" t="str">
        <f t="shared" si="26"/>
        <v/>
      </c>
      <c r="BF29" s="1">
        <v>4</v>
      </c>
      <c r="BG29" s="1" t="str">
        <f t="shared" si="27"/>
        <v/>
      </c>
      <c r="BH29" s="1">
        <v>4</v>
      </c>
      <c r="BI29" s="1" t="str">
        <f t="shared" si="28"/>
        <v/>
      </c>
      <c r="BJ29" s="1">
        <v>3</v>
      </c>
      <c r="BK29" s="1" t="str">
        <f>IF(BK$25&lt;&gt;$H$25,"",IF(BK$25=$H$25,IFERROR(VLOOKUP($F28,$I$26:$J$34,2,0),"")))</f>
        <v/>
      </c>
      <c r="BL29" s="1">
        <v>3</v>
      </c>
      <c r="BM29" s="1" t="str">
        <f>IF(BM$25&lt;&gt;$H$25,"",IF(BM$25=$H$25,IFERROR(VLOOKUP($F28,$I$26:$J$34,2,0),"")))</f>
        <v/>
      </c>
      <c r="BN29" s="1">
        <v>4</v>
      </c>
      <c r="BO29" s="1" t="str">
        <f t="shared" si="31"/>
        <v/>
      </c>
      <c r="BP29" s="1">
        <v>3</v>
      </c>
      <c r="BQ29" s="1" t="str">
        <f>IF(BQ$25&lt;&gt;$H$25,"",IF(BQ$25=$H$25,IFERROR(VLOOKUP($F28,$I$26:$J$34,2,0),"")))</f>
        <v/>
      </c>
      <c r="BR29" s="1">
        <v>1</v>
      </c>
      <c r="BS29" s="1" t="str">
        <f>IF(BS$25&lt;&gt;$H$25,"",IF(BS$25=$H$25,IFERROR(VLOOKUP($F26,$I$26:$J$34,2,0),"")))</f>
        <v/>
      </c>
      <c r="BT29" s="1">
        <v>4</v>
      </c>
      <c r="BU29" s="1" t="str">
        <f t="shared" ref="BU29:BU34" si="47">IF(BU$25&lt;&gt;$H$25,"",IF(BU$25=$H$25,IFERROR(VLOOKUP($F29,$I$26:$J$34,2,0),"")))</f>
        <v/>
      </c>
      <c r="BV29" s="1">
        <v>3</v>
      </c>
      <c r="BW29" s="1" t="str">
        <f>IF(BW$25&lt;&gt;$H$25,"",IF(BW$25=$H$25,IFERROR(VLOOKUP($F28,$I$26:$J$34,2,0),"")))</f>
        <v/>
      </c>
      <c r="BX29" s="1">
        <v>4</v>
      </c>
      <c r="BY29" s="1" t="str">
        <f t="shared" si="43"/>
        <v/>
      </c>
      <c r="BZ29" s="1">
        <v>3</v>
      </c>
      <c r="CA29" s="1" t="str">
        <f>IF(CA$25&lt;&gt;$H$25,"",IF(CA$25=$H$25,IFERROR(VLOOKUP($F28,$I$26:$J$34,2,0),"")))</f>
        <v/>
      </c>
      <c r="CB29" s="1">
        <v>4</v>
      </c>
      <c r="CC29" s="1" t="str">
        <f t="shared" si="32"/>
        <v/>
      </c>
      <c r="CD29" s="1">
        <v>4</v>
      </c>
      <c r="CE29" s="1" t="str">
        <f t="shared" si="33"/>
        <v/>
      </c>
      <c r="CF29" s="1">
        <v>4</v>
      </c>
      <c r="CG29" s="1" t="str">
        <f t="shared" si="34"/>
        <v/>
      </c>
      <c r="CH29" s="1">
        <v>4</v>
      </c>
      <c r="CI29" s="1" t="str">
        <f t="shared" si="44"/>
        <v/>
      </c>
      <c r="CJ29" s="1">
        <v>3</v>
      </c>
      <c r="CK29" s="1" t="str">
        <f>IF(CK$25&lt;&gt;$H$25,"",IF(CK$25=$H$25,IFERROR(VLOOKUP($F28,$I$26:$J$34,2,0),"")))</f>
        <v/>
      </c>
      <c r="CL29" s="1">
        <v>3</v>
      </c>
      <c r="CM29" s="1" t="str">
        <f>IF(CM$25&lt;&gt;$H$25,"",IF(CM$25=$H$25,IFERROR(VLOOKUP($F28,$I$26:$J$34,2,0),"")))</f>
        <v/>
      </c>
      <c r="CN29" s="1">
        <v>4</v>
      </c>
      <c r="CO29" s="1" t="str">
        <f t="shared" si="45"/>
        <v/>
      </c>
      <c r="CP29" s="1">
        <v>1</v>
      </c>
      <c r="CQ29" s="1" t="str">
        <f>IF(CQ$25&lt;&gt;$H$25,"",IF(CQ$25=$H$25,IFERROR(VLOOKUP($F26,$I$26:$J$34,2,0),"")))</f>
        <v/>
      </c>
      <c r="CR29" s="1">
        <v>4</v>
      </c>
      <c r="CS29" s="1" t="str">
        <f t="shared" si="37"/>
        <v/>
      </c>
      <c r="CT29" s="1">
        <v>4</v>
      </c>
      <c r="CU29" s="1" t="str">
        <f t="shared" si="13"/>
        <v/>
      </c>
      <c r="CV29" s="1">
        <v>4</v>
      </c>
      <c r="CW29" s="1" t="str">
        <f t="shared" si="38"/>
        <v/>
      </c>
      <c r="CX29" s="1">
        <v>4</v>
      </c>
      <c r="CY29" s="1" t="str">
        <f t="shared" ref="CY29" si="48">IF(CY$25&lt;&gt;$H$25,"",IF(CY$25=$H$25,IFERROR(VLOOKUP($F29,$I$26:$J$34,2,0),"")))</f>
        <v/>
      </c>
      <c r="CZ29" s="1">
        <v>4</v>
      </c>
      <c r="DA29" s="1" t="str">
        <f>IF(DA$25&lt;&gt;$H$25,"",IF(DA$25=$H$25,IFERROR(VLOOKUP($F29,$I$26:$J$34,2,0),"")))</f>
        <v/>
      </c>
      <c r="DB29" s="1">
        <v>3</v>
      </c>
      <c r="DC29" s="1" t="str">
        <f>IF(DC$25&lt;&gt;$H$25,"",IF(DC$25=$H$25,IFERROR(VLOOKUP($F28,$I$26:$J$34,2,0),"")))</f>
        <v/>
      </c>
      <c r="DD29" s="1">
        <v>3</v>
      </c>
      <c r="DE29" s="1" t="str">
        <f>IF(DE$25&lt;&gt;$H$25,"",IF(DE$25=$H$25,IFERROR(VLOOKUP($F28,$I$26:$J$34,2,0),"")))</f>
        <v/>
      </c>
      <c r="DF29" s="1">
        <v>2</v>
      </c>
      <c r="DG29" s="1" t="str">
        <f>IF(DG$25&lt;&gt;$H$25,"",IF(DG$25=$H$25,IFERROR(VLOOKUP($F27,$I$26:$J$34,2,0),"")))</f>
        <v/>
      </c>
      <c r="DH29" s="1">
        <v>4</v>
      </c>
      <c r="DI29" s="1" t="str">
        <f t="shared" si="39"/>
        <v/>
      </c>
      <c r="DJ29" s="1">
        <v>4</v>
      </c>
      <c r="DK29" s="1" t="str">
        <f t="shared" si="40"/>
        <v/>
      </c>
      <c r="DL29" s="1">
        <v>3</v>
      </c>
      <c r="DM29" s="1" t="str">
        <f t="shared" ref="DM29:DM34" si="49">IF(DM$25&lt;&gt;$H$25,"",IF(DM$25=$H$25,IFERROR(VLOOKUP($F28,$I$26:$J$34,2,0),"")))</f>
        <v/>
      </c>
      <c r="DN29" s="1">
        <v>4</v>
      </c>
      <c r="DO29" s="1" t="str">
        <f t="shared" si="42"/>
        <v/>
      </c>
    </row>
    <row r="30" spans="1:119" x14ac:dyDescent="0.25">
      <c r="A30" s="26">
        <f>E29-E30</f>
        <v>0</v>
      </c>
      <c r="B30" s="1" t="s">
        <v>82</v>
      </c>
      <c r="C30" s="41">
        <f>IF('INSCRIPTION DES JOUEURS'!K26="","",'INSCRIPTION DES JOUEURS'!K26)</f>
        <v>0</v>
      </c>
      <c r="D30" s="269" t="str">
        <f t="shared" si="14"/>
        <v/>
      </c>
      <c r="E30">
        <f>COUNTBLANK(D29:D31)</f>
        <v>3</v>
      </c>
      <c r="F30" s="1">
        <v>5</v>
      </c>
      <c r="G30" s="1" t="str">
        <f t="shared" si="15"/>
        <v/>
      </c>
      <c r="H30" s="1" t="str">
        <f t="shared" si="10"/>
        <v/>
      </c>
      <c r="I30" s="1" t="str">
        <f t="shared" si="11"/>
        <v/>
      </c>
      <c r="J30" s="1" t="str">
        <f t="shared" ref="J30:J34" si="50">IF(I30="","",H30)</f>
        <v/>
      </c>
      <c r="K30" s="1" t="e">
        <f>'INSCRIPTION DES JOUEURS'!#REF!</f>
        <v>#REF!</v>
      </c>
      <c r="L30" s="1" t="str">
        <f t="shared" si="16"/>
        <v/>
      </c>
      <c r="M30" s="1" t="e">
        <f t="shared" si="17"/>
        <v>#REF!</v>
      </c>
      <c r="N30" s="1" t="str">
        <f t="shared" si="18"/>
        <v/>
      </c>
      <c r="O30" s="1" t="str">
        <f t="shared" si="19"/>
        <v/>
      </c>
      <c r="P30" s="1">
        <v>5</v>
      </c>
      <c r="Q30" s="27" t="str">
        <f t="shared" si="20"/>
        <v/>
      </c>
      <c r="R30" s="27" t="str">
        <f>IFERROR(VLOOKUP(Q30,Listing!$Z$3:$AB$157,3,0),"")</f>
        <v/>
      </c>
      <c r="S30" s="27" t="str">
        <f t="shared" si="21"/>
        <v/>
      </c>
      <c r="T30" s="27" t="str">
        <f>IF(AND($T$24=6,R30=R31),Q29,IF(AND($T$24=6,R30=R29),Q29,IF(AND(T27=6,R31=R29),Q29,Q30)))</f>
        <v/>
      </c>
      <c r="V30" s="1">
        <v>5</v>
      </c>
      <c r="X30" s="1">
        <v>5</v>
      </c>
      <c r="Y30" s="1" t="str">
        <f t="shared" si="22"/>
        <v/>
      </c>
      <c r="Z30" s="1">
        <v>5</v>
      </c>
      <c r="AA30" s="1" t="str">
        <f t="shared" si="23"/>
        <v/>
      </c>
      <c r="AB30" s="1">
        <v>5</v>
      </c>
      <c r="AC30" s="1" t="str">
        <f t="shared" si="12"/>
        <v/>
      </c>
      <c r="AD30" s="1">
        <v>5</v>
      </c>
      <c r="AE30" s="1" t="str">
        <f t="shared" si="24"/>
        <v/>
      </c>
      <c r="AF30" s="27">
        <v>2</v>
      </c>
      <c r="AG30" s="1" t="str">
        <f>IF(AG$25&lt;&gt;$H$25,"",IF(AG$25=$H$25,IFERROR(VLOOKUP($F27,$I$26:$J$34,2,0),"")))</f>
        <v/>
      </c>
      <c r="AH30" s="1">
        <v>4</v>
      </c>
      <c r="AI30" s="1" t="str">
        <f>IF(AI$25&lt;&gt;$H$25,"",IF(AI$25=$H$25,IFERROR(VLOOKUP($F29,$I$26:$J$34,2,0),"")))</f>
        <v/>
      </c>
      <c r="AJ30" s="1">
        <v>4</v>
      </c>
      <c r="AK30" s="1" t="str">
        <f>IF(AK$25&lt;&gt;$H$25,"",IF(AK$25=$H$25,IFERROR(VLOOKUP($F29,$I$26:$J$34,2,0),"")))</f>
        <v/>
      </c>
      <c r="AL30" s="1">
        <v>4</v>
      </c>
      <c r="AM30" s="1" t="str">
        <f>IF(AM$25&lt;&gt;$H$25,"",IF(AM$25=$H$25,IFERROR(VLOOKUP($F29,$I$26:$J$34,2,0),"")))</f>
        <v/>
      </c>
      <c r="AN30" s="1">
        <v>4</v>
      </c>
      <c r="AO30" s="1" t="str">
        <f>IF(AO$25&lt;&gt;$H$25,"",IF(AO$25=$H$25,IFERROR(VLOOKUP($F29,$I$26:$J$34,2,0),"")))</f>
        <v/>
      </c>
      <c r="AP30" s="33">
        <v>4</v>
      </c>
      <c r="AQ30" s="1" t="str">
        <f>IF(AQ$25&lt;&gt;$H$25,"",IF(AQ$25=$H$25,IFERROR(VLOOKUP($F29,$I$26:$J$34,2,0),"")))</f>
        <v/>
      </c>
      <c r="AR30" s="1">
        <v>3</v>
      </c>
      <c r="AS30" s="1" t="str">
        <f>IF(AS$25&lt;&gt;$H$25,"",IF(AS$25=$H$25,IFERROR(VLOOKUP($F28,$I$26:$J$34,2,0),"")))</f>
        <v/>
      </c>
      <c r="AT30" s="1">
        <v>4</v>
      </c>
      <c r="AU30" s="1" t="str">
        <f>IF(AU$25&lt;&gt;$H$25,"",IF(AU$25=$H$25,IFERROR(VLOOKUP($F29,$I$26:$J$34,2,0),"")))</f>
        <v/>
      </c>
      <c r="AV30" s="1">
        <v>4</v>
      </c>
      <c r="AW30" s="1" t="str">
        <f>IF(AW$25&lt;&gt;$H$25,"",IF(AW$25=$H$25,IFERROR(VLOOKUP($F29,$I$26:$J$34,2,0),"")))</f>
        <v/>
      </c>
      <c r="AX30" s="1">
        <v>4</v>
      </c>
      <c r="AY30" s="1" t="str">
        <f>IF(AY$25&lt;&gt;$H$25,"",IF(AY$25=$H$25,IFERROR(VLOOKUP($F29,$I$26:$J$34,2,0),"")))</f>
        <v/>
      </c>
      <c r="AZ30" s="1">
        <v>4</v>
      </c>
      <c r="BA30" s="1" t="str">
        <f>IF(BA$25&lt;&gt;$H$25,"",IF(BA$25=$H$25,IFERROR(VLOOKUP($F29,$I$26:$J$34,2,0),"")))</f>
        <v/>
      </c>
      <c r="BB30" s="1">
        <v>4</v>
      </c>
      <c r="BC30" s="1" t="str">
        <f>IF(BC$25&lt;&gt;$H$25,"",IF(BC$25=$H$25,IFERROR(VLOOKUP($F29,$I$26:$J$34,2,0),"")))</f>
        <v/>
      </c>
      <c r="BD30" s="1">
        <v>5</v>
      </c>
      <c r="BE30" s="1" t="str">
        <f t="shared" si="26"/>
        <v/>
      </c>
      <c r="BF30" s="1">
        <v>5</v>
      </c>
      <c r="BG30" s="1" t="str">
        <f t="shared" si="27"/>
        <v/>
      </c>
      <c r="BH30" s="1">
        <v>5</v>
      </c>
      <c r="BI30" s="1" t="str">
        <f t="shared" si="28"/>
        <v/>
      </c>
      <c r="BJ30" s="1">
        <v>4</v>
      </c>
      <c r="BK30" s="1" t="str">
        <f>IF(BK$25&lt;&gt;$H$25,"",IF(BK$25=$H$25,IFERROR(VLOOKUP($F29,$I$26:$J$34,2,0),"")))</f>
        <v/>
      </c>
      <c r="BL30" s="1">
        <v>4</v>
      </c>
      <c r="BM30" s="1" t="str">
        <f>IF(BM$25&lt;&gt;$H$25,"",IF(BM$25=$H$25,IFERROR(VLOOKUP($F29,$I$26:$J$34,2,0),"")))</f>
        <v/>
      </c>
      <c r="BN30" s="1">
        <v>5</v>
      </c>
      <c r="BO30" s="1" t="str">
        <f t="shared" si="31"/>
        <v/>
      </c>
      <c r="BP30" s="1">
        <v>4</v>
      </c>
      <c r="BQ30" s="1" t="str">
        <f>IF(BQ$25&lt;&gt;$H$25,"",IF(BQ$25=$H$25,IFERROR(VLOOKUP($F29,$I$26:$J$34,2,0),"")))</f>
        <v/>
      </c>
      <c r="BR30" s="1">
        <v>5</v>
      </c>
      <c r="BS30" s="1" t="str">
        <f t="shared" ref="BS30:BS34" si="51">IF(BS$25&lt;&gt;$H$25,"",IF(BS$25=$H$25,IFERROR(VLOOKUP($F30,$I$26:$J$34,2,0),"")))</f>
        <v/>
      </c>
      <c r="BT30" s="1">
        <v>5</v>
      </c>
      <c r="BU30" s="1" t="str">
        <f t="shared" si="47"/>
        <v/>
      </c>
      <c r="BV30" s="1">
        <v>4</v>
      </c>
      <c r="BW30" s="1" t="str">
        <f>IF(BW$25&lt;&gt;$H$25,"",IF(BW$25=$H$25,IFERROR(VLOOKUP($F29,$I$26:$J$34,2,0),"")))</f>
        <v/>
      </c>
      <c r="BX30" s="1">
        <v>5</v>
      </c>
      <c r="BY30" s="1" t="str">
        <f t="shared" si="43"/>
        <v/>
      </c>
      <c r="BZ30" s="1">
        <v>4</v>
      </c>
      <c r="CA30" s="1" t="str">
        <f>IF(CA$25&lt;&gt;$H$25,"",IF(CA$25=$H$25,IFERROR(VLOOKUP($F29,$I$26:$J$34,2,0),"")))</f>
        <v/>
      </c>
      <c r="CB30" s="1">
        <v>5</v>
      </c>
      <c r="CC30" s="1" t="str">
        <f t="shared" si="32"/>
        <v/>
      </c>
      <c r="CD30" s="1">
        <v>5</v>
      </c>
      <c r="CE30" s="1" t="str">
        <f t="shared" si="33"/>
        <v/>
      </c>
      <c r="CF30" s="1">
        <v>5</v>
      </c>
      <c r="CG30" s="1" t="str">
        <f t="shared" si="34"/>
        <v/>
      </c>
      <c r="CH30" s="1">
        <v>5</v>
      </c>
      <c r="CI30" s="1" t="str">
        <f t="shared" si="44"/>
        <v/>
      </c>
      <c r="CJ30" s="1">
        <v>4</v>
      </c>
      <c r="CK30" s="1" t="str">
        <f>IF(CK$25&lt;&gt;$H$25,"",IF(CK$25=$H$25,IFERROR(VLOOKUP($F29,$I$26:$J$34,2,0),"")))</f>
        <v/>
      </c>
      <c r="CL30" s="1">
        <v>4</v>
      </c>
      <c r="CM30" s="1" t="str">
        <f>IF(CM$25&lt;&gt;$H$25,"",IF(CM$25=$H$25,IFERROR(VLOOKUP($F29,$I$26:$J$34,2,0),"")))</f>
        <v/>
      </c>
      <c r="CN30" s="1">
        <v>5</v>
      </c>
      <c r="CO30" s="1" t="str">
        <f t="shared" si="45"/>
        <v/>
      </c>
      <c r="CP30" s="1">
        <v>5</v>
      </c>
      <c r="CQ30" s="1" t="str">
        <f t="shared" ref="CQ30:CQ34" si="52">IF(CQ$25&lt;&gt;$H$25,"",IF(CQ$25=$H$25,IFERROR(VLOOKUP($F30,$I$26:$J$34,2,0),"")))</f>
        <v/>
      </c>
      <c r="CR30" s="1">
        <v>5</v>
      </c>
      <c r="CS30" s="1" t="str">
        <f t="shared" si="37"/>
        <v/>
      </c>
      <c r="CT30" s="1">
        <v>5</v>
      </c>
      <c r="CU30" s="1" t="str">
        <f t="shared" si="13"/>
        <v/>
      </c>
      <c r="CV30" s="1">
        <v>6</v>
      </c>
      <c r="CW30" s="1" t="str">
        <f>IF(CW$25&lt;&gt;$H$25,"",IF(CW$25=$H$25,IFERROR(VLOOKUP($F31,$I$26:$J$34,2,0),"")))</f>
        <v/>
      </c>
      <c r="CX30" s="1">
        <v>2</v>
      </c>
      <c r="CY30" s="1" t="str">
        <f>IF(CY$25&lt;&gt;$H$25,"",IF(CY$25=$H$25,IFERROR(VLOOKUP($F27,$I$26:$J$34,2,0),"")))</f>
        <v/>
      </c>
      <c r="CZ30" s="1">
        <v>5</v>
      </c>
      <c r="DA30" s="1" t="str">
        <f>IF(DA$25&lt;&gt;$H$25,"",IF(DA$25=$H$25,IFERROR(VLOOKUP($F30,$I$26:$J$34,2,0),"")))</f>
        <v/>
      </c>
      <c r="DB30" s="1">
        <v>4</v>
      </c>
      <c r="DC30" s="1" t="str">
        <f>IF(DC$25&lt;&gt;$H$25,"",IF(DC$25=$H$25,IFERROR(VLOOKUP($F29,$I$26:$J$34,2,0),"")))</f>
        <v/>
      </c>
      <c r="DD30" s="1">
        <v>4</v>
      </c>
      <c r="DE30" s="1" t="str">
        <f>IF(DE$25&lt;&gt;$H$25,"",IF(DE$25=$H$25,IFERROR(VLOOKUP($F29,$I$26:$J$34,2,0),"")))</f>
        <v/>
      </c>
      <c r="DF30" s="1">
        <v>3</v>
      </c>
      <c r="DG30" s="1" t="str">
        <f>IF(DG$25&lt;&gt;$H$25,"",IF(DG$25=$H$25,IFERROR(VLOOKUP($F28,$I$26:$J$34,2,0),"")))</f>
        <v/>
      </c>
      <c r="DH30" s="1">
        <v>5</v>
      </c>
      <c r="DI30" s="1" t="str">
        <f t="shared" si="39"/>
        <v/>
      </c>
      <c r="DJ30" s="1">
        <v>5</v>
      </c>
      <c r="DK30" s="1" t="str">
        <f t="shared" si="40"/>
        <v/>
      </c>
      <c r="DL30" s="1">
        <v>4</v>
      </c>
      <c r="DM30" s="1" t="str">
        <f t="shared" si="49"/>
        <v/>
      </c>
      <c r="DN30" s="1">
        <v>5</v>
      </c>
      <c r="DO30" s="1" t="str">
        <f t="shared" si="42"/>
        <v/>
      </c>
    </row>
    <row r="31" spans="1:119" ht="15.75" thickBot="1" x14ac:dyDescent="0.3">
      <c r="B31" s="1" t="s">
        <v>83</v>
      </c>
      <c r="C31" s="42">
        <f>IF('INSCRIPTION DES JOUEURS'!K27="","",'INSCRIPTION DES JOUEURS'!K27)</f>
        <v>0</v>
      </c>
      <c r="D31" s="269" t="str">
        <f t="shared" si="14"/>
        <v/>
      </c>
      <c r="F31" s="1">
        <v>6</v>
      </c>
      <c r="G31" s="1" t="str">
        <f t="shared" si="15"/>
        <v/>
      </c>
      <c r="H31" s="1" t="str">
        <f t="shared" si="10"/>
        <v/>
      </c>
      <c r="I31" s="1" t="str">
        <f t="shared" si="11"/>
        <v/>
      </c>
      <c r="J31" s="1" t="str">
        <f t="shared" si="50"/>
        <v/>
      </c>
      <c r="K31" s="1" t="e">
        <f>'INSCRIPTION DES JOUEURS'!#REF!</f>
        <v>#REF!</v>
      </c>
      <c r="L31" s="1" t="str">
        <f t="shared" si="16"/>
        <v/>
      </c>
      <c r="M31" s="1" t="e">
        <f t="shared" si="17"/>
        <v>#REF!</v>
      </c>
      <c r="N31" s="1" t="str">
        <f t="shared" si="18"/>
        <v/>
      </c>
      <c r="O31" s="1" t="str">
        <f t="shared" si="19"/>
        <v/>
      </c>
      <c r="P31" s="1">
        <v>6</v>
      </c>
      <c r="Q31" s="27" t="str">
        <f t="shared" si="20"/>
        <v/>
      </c>
      <c r="R31" s="27" t="str">
        <f>IFERROR(VLOOKUP(Q31,Listing!$Z$3:$AB$157,3,0),"")</f>
        <v/>
      </c>
      <c r="S31" s="27" t="str">
        <f t="shared" si="21"/>
        <v/>
      </c>
      <c r="T31" s="27" t="str">
        <f>IF(AND($T$24=6,R31=R29),Q31,IF(AND($T$24=6,R31=R30),Q31,IF(AND($T$24=6,R30=R29),Q30,Q31)))</f>
        <v/>
      </c>
      <c r="V31" s="1">
        <v>6</v>
      </c>
      <c r="X31" s="1">
        <v>6</v>
      </c>
      <c r="Y31" s="1" t="str">
        <f>IF(Y$25&lt;&gt;$H$25,"",IF(Y$25=$H$25,IFERROR(VLOOKUP($F31,$S$26:$T$34,2,0),"")))</f>
        <v/>
      </c>
      <c r="Z31" s="1">
        <v>6</v>
      </c>
      <c r="AA31" s="1" t="str">
        <f t="shared" si="23"/>
        <v/>
      </c>
      <c r="AB31" s="1">
        <v>6</v>
      </c>
      <c r="AC31" s="1" t="str">
        <f t="shared" si="12"/>
        <v/>
      </c>
      <c r="AD31" s="1">
        <v>6</v>
      </c>
      <c r="AE31" s="1" t="str">
        <f t="shared" si="24"/>
        <v/>
      </c>
      <c r="AF31" s="1">
        <v>6</v>
      </c>
      <c r="AG31" s="1" t="str">
        <f t="shared" si="46"/>
        <v/>
      </c>
      <c r="AH31" s="1">
        <v>6</v>
      </c>
      <c r="AI31" s="1" t="str">
        <f t="shared" ref="AI31:AI34" si="53">IF(AI$25&lt;&gt;$H$25,"",IF(AI$25=$H$25,IFERROR(VLOOKUP($F31,$I$26:$J$34,2,0),"")))</f>
        <v/>
      </c>
      <c r="AJ31" s="1">
        <v>6</v>
      </c>
      <c r="AK31" s="1" t="str">
        <f t="shared" si="25"/>
        <v/>
      </c>
      <c r="AL31" s="1">
        <v>6</v>
      </c>
      <c r="AM31" s="1" t="str">
        <f t="shared" ref="AM31:AM34" si="54">IF(AM$25&lt;&gt;$H$25,"",IF(AM$25=$H$25,IFERROR(VLOOKUP($F31,$I$26:$J$34,2,0),"")))</f>
        <v/>
      </c>
      <c r="AN31" s="1">
        <v>6</v>
      </c>
      <c r="AO31" s="1" t="str">
        <f t="shared" ref="AO31:AO34" si="55">IF(AO$25&lt;&gt;$H$25,"",IF(AO$25=$H$25,IFERROR(VLOOKUP($F31,$I$26:$J$34,2,0),"")))</f>
        <v/>
      </c>
      <c r="AP31" s="1">
        <v>6</v>
      </c>
      <c r="AQ31" s="1" t="str">
        <f>IF(AQ$25&lt;&gt;$H$25,"",IF(AQ$25=$H$25,IFERROR(VLOOKUP($F31,$I$26:$J$34,2,0),"")))</f>
        <v/>
      </c>
      <c r="AR31" s="1">
        <v>6</v>
      </c>
      <c r="AS31" s="1" t="str">
        <f t="shared" ref="AS31:AS34" si="56">IF(AS$25&lt;&gt;$H$25,"",IF(AS$25=$H$25,IFERROR(VLOOKUP($F31,$I$26:$J$34,2,0),"")))</f>
        <v/>
      </c>
      <c r="AT31" s="1">
        <v>6</v>
      </c>
      <c r="AU31" s="1" t="str">
        <f t="shared" ref="AU31:AU34" si="57">IF(AU$25&lt;&gt;$H$25,"",IF(AU$25=$H$25,IFERROR(VLOOKUP($F31,$I$26:$J$34,2,0),"")))</f>
        <v/>
      </c>
      <c r="AV31" s="1">
        <v>6</v>
      </c>
      <c r="AW31" s="1" t="str">
        <f t="shared" ref="AW31:AW34" si="58">IF(AW$25&lt;&gt;$H$25,"",IF(AW$25=$H$25,IFERROR(VLOOKUP($F31,$I$26:$J$34,2,0),"")))</f>
        <v/>
      </c>
      <c r="AX31" s="1">
        <v>6</v>
      </c>
      <c r="AY31" s="1" t="str">
        <f t="shared" ref="AY31:AY34" si="59">IF(AY$25&lt;&gt;$H$25,"",IF(AY$25=$H$25,IFERROR(VLOOKUP($F31,$I$26:$J$34,2,0),"")))</f>
        <v/>
      </c>
      <c r="AZ31" s="1">
        <v>6</v>
      </c>
      <c r="BA31" s="1" t="str">
        <f t="shared" ref="BA31:BA34" si="60">IF(BA$25&lt;&gt;$H$25,"",IF(BA$25=$H$25,IFERROR(VLOOKUP($F31,$I$26:$J$34,2,0),"")))</f>
        <v/>
      </c>
      <c r="BB31" s="1">
        <v>6</v>
      </c>
      <c r="BC31" s="1" t="str">
        <f t="shared" ref="BC31:BC34" si="61">IF(BC$25&lt;&gt;$H$25,"",IF(BC$25=$H$25,IFERROR(VLOOKUP($F31,$I$26:$J$34,2,0),"")))</f>
        <v/>
      </c>
      <c r="BD31" s="1">
        <v>6</v>
      </c>
      <c r="BE31" s="1" t="str">
        <f t="shared" si="26"/>
        <v/>
      </c>
      <c r="BF31" s="1">
        <v>6</v>
      </c>
      <c r="BG31" s="1" t="str">
        <f t="shared" si="27"/>
        <v/>
      </c>
      <c r="BH31" s="1">
        <v>6</v>
      </c>
      <c r="BI31" s="1" t="str">
        <f t="shared" si="28"/>
        <v/>
      </c>
      <c r="BJ31" s="1">
        <v>5</v>
      </c>
      <c r="BK31" s="1" t="str">
        <f>IF(BK$25&lt;&gt;$H$25,"",IF(BK$25=$H$25,IFERROR(VLOOKUP($F30,$I$26:$J$34,2,0),"")))</f>
        <v/>
      </c>
      <c r="BL31" s="27">
        <v>6</v>
      </c>
      <c r="BM31" s="1" t="str">
        <f>IF(BM$25&lt;&gt;$H$25,"",IF(BM$25=$H$25,IFERROR(VLOOKUP($F31,$I$26:$J$34,2,0),"")))</f>
        <v/>
      </c>
      <c r="BN31" s="1">
        <v>6</v>
      </c>
      <c r="BO31" s="1" t="str">
        <f t="shared" si="31"/>
        <v/>
      </c>
      <c r="BP31" s="1">
        <v>5</v>
      </c>
      <c r="BQ31" s="1" t="str">
        <f>IF(BQ$25&lt;&gt;$H$25,"",IF(BQ$25=$H$25,IFERROR(VLOOKUP($F30,$I$26:$J$34,2,0),"")))</f>
        <v/>
      </c>
      <c r="BR31" s="1">
        <v>6</v>
      </c>
      <c r="BS31" s="1" t="str">
        <f t="shared" si="51"/>
        <v/>
      </c>
      <c r="BT31" s="27">
        <v>1</v>
      </c>
      <c r="BU31" s="1" t="str">
        <f>IF(BU$25&lt;&gt;$H$25,"",IF(BU$25=$H$25,IFERROR(VLOOKUP($F26,$I$26:$J$34,2,0),"")))</f>
        <v/>
      </c>
      <c r="BV31" s="1">
        <v>5</v>
      </c>
      <c r="BW31" s="1" t="str">
        <f>IF(BW$25&lt;&gt;$H$25,"",IF(BW$25=$H$25,IFERROR(VLOOKUP($F30,$I$26:$J$34,2,0),"")))</f>
        <v/>
      </c>
      <c r="BX31" s="1">
        <v>6</v>
      </c>
      <c r="BY31" s="1" t="str">
        <f t="shared" si="43"/>
        <v/>
      </c>
      <c r="BZ31" s="1">
        <v>5</v>
      </c>
      <c r="CA31" s="1" t="str">
        <f>IF(CA$25&lt;&gt;$H$25,"",IF(CA$25=$H$25,IFERROR(VLOOKUP($F30,$I$26:$J$34,2,0),"")))</f>
        <v/>
      </c>
      <c r="CB31" s="1">
        <v>6</v>
      </c>
      <c r="CC31" s="1" t="str">
        <f t="shared" si="32"/>
        <v/>
      </c>
      <c r="CD31" s="1">
        <v>6</v>
      </c>
      <c r="CE31" s="1" t="str">
        <f t="shared" si="33"/>
        <v/>
      </c>
      <c r="CF31" s="1">
        <v>6</v>
      </c>
      <c r="CG31" s="1" t="str">
        <f t="shared" si="34"/>
        <v/>
      </c>
      <c r="CH31" s="1">
        <v>6</v>
      </c>
      <c r="CI31" s="1" t="str">
        <f t="shared" si="44"/>
        <v/>
      </c>
      <c r="CJ31" s="1">
        <v>5</v>
      </c>
      <c r="CK31" s="1" t="str">
        <f>IF(CK$25&lt;&gt;$H$25,"",IF(CK$25=$H$25,IFERROR(VLOOKUP($F30,$I$26:$J$34,2,0),"")))</f>
        <v/>
      </c>
      <c r="CL31" s="33">
        <v>6</v>
      </c>
      <c r="CM31" s="1" t="str">
        <f>IF(CM$25&lt;&gt;$H$25,"",IF(CM$25=$H$25,IFERROR(VLOOKUP($F31,$I$26:$J$34,2,0),"")))</f>
        <v/>
      </c>
      <c r="CN31" s="1">
        <v>6</v>
      </c>
      <c r="CO31" s="1" t="str">
        <f t="shared" si="45"/>
        <v/>
      </c>
      <c r="CP31" s="1">
        <v>6</v>
      </c>
      <c r="CQ31" s="1" t="str">
        <f t="shared" si="52"/>
        <v/>
      </c>
      <c r="CR31" s="1">
        <v>6</v>
      </c>
      <c r="CS31" s="1" t="str">
        <f t="shared" si="37"/>
        <v/>
      </c>
      <c r="CT31" s="1">
        <v>6</v>
      </c>
      <c r="CU31" s="1" t="str">
        <f t="shared" si="13"/>
        <v/>
      </c>
      <c r="CV31" s="1">
        <v>8</v>
      </c>
      <c r="CW31" s="1" t="str">
        <f>IF(CW$25&lt;&gt;$H$25,"",IF(CW$25=$H$25,IFERROR(VLOOKUP($F33,$I$26:$J$34,2,0),"")))</f>
        <v/>
      </c>
      <c r="CX31" s="1">
        <v>9</v>
      </c>
      <c r="CY31" s="1" t="str">
        <f>IF(CY$25&lt;&gt;$H$25,"",IF(CY$25=$H$25,IFERROR(VLOOKUP($F34,$I$26:$J$34,2,0),"")))</f>
        <v/>
      </c>
      <c r="CZ31" s="1">
        <v>8</v>
      </c>
      <c r="DA31" s="1" t="str">
        <f>IF(DA$25&lt;&gt;$H$25,"",IF(DA$25=$H$25,IFERROR(VLOOKUP($F33,$I$26:$J$34,2,0),"")))</f>
        <v/>
      </c>
      <c r="DB31" s="1">
        <v>5</v>
      </c>
      <c r="DC31" s="1" t="str">
        <f>IF(DC$25&lt;&gt;$H$25,"",IF(DC$25=$H$25,IFERROR(VLOOKUP($F30,$I$26:$J$34,2,0),"")))</f>
        <v/>
      </c>
      <c r="DD31" s="1">
        <v>9</v>
      </c>
      <c r="DE31" s="1" t="str">
        <f>IF(DE$25&lt;&gt;$H$25,"",IF(DE$25=$H$25,IFERROR(VLOOKUP($F34,$I$26:$J$34,2,0),"")))</f>
        <v/>
      </c>
      <c r="DF31" s="1">
        <v>4</v>
      </c>
      <c r="DG31" s="1" t="str">
        <f>IF(DG$25&lt;&gt;$H$25,"",IF(DG$25=$H$25,IFERROR(VLOOKUP($F29,$I$26:$J$34,2,0),"")))</f>
        <v/>
      </c>
      <c r="DH31" s="1">
        <v>6</v>
      </c>
      <c r="DI31" s="1" t="str">
        <f t="shared" si="39"/>
        <v/>
      </c>
      <c r="DJ31" s="27">
        <v>9</v>
      </c>
      <c r="DK31" s="1" t="str">
        <f>IF(DK$25&lt;&gt;$H$25,"",IF(DK$25=$H$25,IFERROR(VLOOKUP($F34,$I$26:$J$34,2,0),"")))</f>
        <v/>
      </c>
      <c r="DL31" s="1">
        <v>5</v>
      </c>
      <c r="DM31" s="1" t="str">
        <f t="shared" si="49"/>
        <v/>
      </c>
      <c r="DN31" s="1">
        <v>6</v>
      </c>
      <c r="DO31" s="1" t="str">
        <f t="shared" si="42"/>
        <v/>
      </c>
    </row>
    <row r="32" spans="1:119" x14ac:dyDescent="0.25">
      <c r="A32" s="1" t="str">
        <f>A12</f>
        <v>POULE 3</v>
      </c>
      <c r="B32" s="1" t="s">
        <v>81</v>
      </c>
      <c r="C32" s="43">
        <f>IF('INSCRIPTION DES JOUEURS'!K30="","",'INSCRIPTION DES JOUEURS'!K30)</f>
        <v>0</v>
      </c>
      <c r="D32" s="269" t="str">
        <f t="shared" si="14"/>
        <v/>
      </c>
      <c r="E32" s="26">
        <f>COUNTA(D32:D34)</f>
        <v>3</v>
      </c>
      <c r="F32" s="1">
        <v>7</v>
      </c>
      <c r="G32" s="1" t="str">
        <f t="shared" si="15"/>
        <v/>
      </c>
      <c r="H32" s="1" t="str">
        <f t="shared" si="10"/>
        <v/>
      </c>
      <c r="I32" s="1" t="str">
        <f t="shared" si="11"/>
        <v/>
      </c>
      <c r="J32" s="1" t="str">
        <f t="shared" si="50"/>
        <v/>
      </c>
      <c r="K32" s="1" t="e">
        <f>'INSCRIPTION DES JOUEURS'!#REF!</f>
        <v>#REF!</v>
      </c>
      <c r="L32" s="1" t="str">
        <f t="shared" si="16"/>
        <v/>
      </c>
      <c r="M32" s="1" t="e">
        <f t="shared" si="17"/>
        <v>#REF!</v>
      </c>
      <c r="N32" s="1" t="str">
        <f t="shared" si="18"/>
        <v/>
      </c>
      <c r="O32" s="1" t="str">
        <f t="shared" si="19"/>
        <v/>
      </c>
      <c r="P32" s="1">
        <v>7</v>
      </c>
      <c r="Q32" s="27" t="str">
        <f t="shared" si="20"/>
        <v/>
      </c>
      <c r="R32" s="27" t="str">
        <f>IFERROR(VLOOKUP(Q32,Listing!$Z$3:$AB$157,3,0),"")</f>
        <v/>
      </c>
      <c r="S32" s="27" t="str">
        <f t="shared" si="21"/>
        <v/>
      </c>
      <c r="T32" s="27"/>
      <c r="V32" s="1">
        <v>7</v>
      </c>
      <c r="X32" s="1">
        <v>7</v>
      </c>
      <c r="Y32" s="1" t="str">
        <f t="shared" si="22"/>
        <v/>
      </c>
      <c r="Z32" s="1">
        <v>7</v>
      </c>
      <c r="AA32" s="1" t="str">
        <f t="shared" si="23"/>
        <v/>
      </c>
      <c r="AB32" s="1">
        <v>7</v>
      </c>
      <c r="AC32" s="1" t="str">
        <f t="shared" si="12"/>
        <v/>
      </c>
      <c r="AD32" s="1">
        <v>7</v>
      </c>
      <c r="AE32" s="1" t="str">
        <f t="shared" si="24"/>
        <v/>
      </c>
      <c r="AF32" s="1">
        <v>7</v>
      </c>
      <c r="AG32" s="1" t="str">
        <f t="shared" si="46"/>
        <v/>
      </c>
      <c r="AH32" s="1">
        <v>7</v>
      </c>
      <c r="AI32" s="1" t="str">
        <f t="shared" si="53"/>
        <v/>
      </c>
      <c r="AJ32" s="1">
        <v>7</v>
      </c>
      <c r="AK32" s="1" t="str">
        <f t="shared" si="25"/>
        <v/>
      </c>
      <c r="AL32" s="1">
        <v>7</v>
      </c>
      <c r="AM32" s="1" t="str">
        <f t="shared" si="54"/>
        <v/>
      </c>
      <c r="AN32" s="1">
        <v>7</v>
      </c>
      <c r="AO32" s="1" t="str">
        <f t="shared" si="55"/>
        <v/>
      </c>
      <c r="AP32" s="1">
        <v>7</v>
      </c>
      <c r="AQ32" s="1" t="str">
        <f t="shared" ref="AQ32:AQ34" si="62">IF(AQ$25&lt;&gt;$H$25,"",IF(AQ$25=$H$25,IFERROR(VLOOKUP($F32,$I$26:$J$34,2,0),"")))</f>
        <v/>
      </c>
      <c r="AR32" s="1">
        <v>7</v>
      </c>
      <c r="AS32" s="1" t="str">
        <f t="shared" si="56"/>
        <v/>
      </c>
      <c r="AT32" s="1">
        <v>7</v>
      </c>
      <c r="AU32" s="1" t="str">
        <f t="shared" si="57"/>
        <v/>
      </c>
      <c r="AV32" s="1">
        <v>7</v>
      </c>
      <c r="AW32" s="1" t="str">
        <f t="shared" si="58"/>
        <v/>
      </c>
      <c r="AX32" s="1">
        <v>7</v>
      </c>
      <c r="AY32" s="1" t="str">
        <f t="shared" si="59"/>
        <v/>
      </c>
      <c r="AZ32" s="1">
        <v>7</v>
      </c>
      <c r="BA32" s="1" t="str">
        <f t="shared" si="60"/>
        <v/>
      </c>
      <c r="BB32" s="1">
        <v>7</v>
      </c>
      <c r="BC32" s="1" t="str">
        <f t="shared" si="61"/>
        <v/>
      </c>
      <c r="BD32" s="1">
        <v>7</v>
      </c>
      <c r="BE32" s="1" t="str">
        <f t="shared" si="26"/>
        <v/>
      </c>
      <c r="BF32" s="1">
        <v>7</v>
      </c>
      <c r="BG32" s="1" t="str">
        <f t="shared" si="27"/>
        <v/>
      </c>
      <c r="BH32" s="1">
        <v>7</v>
      </c>
      <c r="BI32" s="1" t="str">
        <f t="shared" si="28"/>
        <v/>
      </c>
      <c r="BJ32" s="1">
        <v>7</v>
      </c>
      <c r="BK32" s="1" t="str">
        <f t="shared" si="29"/>
        <v/>
      </c>
      <c r="BL32" s="1">
        <v>7</v>
      </c>
      <c r="BM32" s="1" t="str">
        <f t="shared" si="30"/>
        <v/>
      </c>
      <c r="BN32" s="1">
        <v>7</v>
      </c>
      <c r="BO32" s="1" t="str">
        <f t="shared" si="31"/>
        <v/>
      </c>
      <c r="BP32" s="1">
        <v>7</v>
      </c>
      <c r="BQ32" s="1" t="str">
        <f t="shared" ref="BQ32:BQ34" si="63">IF(BQ$25&lt;&gt;$H$25,"",IF(BQ$25=$H$25,IFERROR(VLOOKUP($F32,$I$26:$J$34,2,0),"")))</f>
        <v/>
      </c>
      <c r="BR32" s="1">
        <v>7</v>
      </c>
      <c r="BS32" s="1" t="str">
        <f t="shared" si="51"/>
        <v/>
      </c>
      <c r="BT32" s="1">
        <v>7</v>
      </c>
      <c r="BU32" s="1" t="str">
        <f t="shared" si="47"/>
        <v/>
      </c>
      <c r="BV32" s="1">
        <v>7</v>
      </c>
      <c r="BW32" s="1" t="str">
        <f t="shared" si="43"/>
        <v/>
      </c>
      <c r="BX32" s="1">
        <v>7</v>
      </c>
      <c r="BY32" s="1" t="str">
        <f t="shared" si="43"/>
        <v/>
      </c>
      <c r="BZ32" s="1">
        <v>7</v>
      </c>
      <c r="CA32" s="1" t="str">
        <f t="shared" si="43"/>
        <v/>
      </c>
      <c r="CB32" s="1">
        <v>7</v>
      </c>
      <c r="CC32" s="1" t="str">
        <f t="shared" si="32"/>
        <v/>
      </c>
      <c r="CD32" s="1">
        <v>7</v>
      </c>
      <c r="CE32" s="1" t="str">
        <f t="shared" si="33"/>
        <v/>
      </c>
      <c r="CF32" s="1">
        <v>7</v>
      </c>
      <c r="CG32" s="1" t="str">
        <f t="shared" si="34"/>
        <v/>
      </c>
      <c r="CH32" s="1">
        <v>7</v>
      </c>
      <c r="CI32" s="1" t="str">
        <f t="shared" si="44"/>
        <v/>
      </c>
      <c r="CJ32" s="1">
        <v>7</v>
      </c>
      <c r="CK32" s="1" t="str">
        <f>IF(CK$25&lt;&gt;$H$25,"",IF(CK$25=$H$25,IFERROR(VLOOKUP($F32,$I$26:$J$34,2,0),"")))</f>
        <v/>
      </c>
      <c r="CL32" s="1">
        <v>7</v>
      </c>
      <c r="CM32" s="1" t="str">
        <f>IF(CM$25&lt;&gt;$H$25,"",IF(CM$25=$H$25,IFERROR(VLOOKUP($F32,$I$26:$J$34,2,0),"")))</f>
        <v/>
      </c>
      <c r="CN32" s="1">
        <v>7</v>
      </c>
      <c r="CO32" s="1" t="str">
        <f t="shared" si="45"/>
        <v/>
      </c>
      <c r="CP32" s="1">
        <v>7</v>
      </c>
      <c r="CQ32" s="1" t="str">
        <f t="shared" si="52"/>
        <v/>
      </c>
      <c r="CR32" s="1">
        <v>7</v>
      </c>
      <c r="CS32" s="1" t="str">
        <f t="shared" si="37"/>
        <v/>
      </c>
      <c r="CT32" s="1">
        <v>7</v>
      </c>
      <c r="CU32" s="1" t="str">
        <f t="shared" si="13"/>
        <v/>
      </c>
      <c r="CV32" s="1">
        <v>7</v>
      </c>
      <c r="CW32" s="1" t="str">
        <f t="shared" si="38"/>
        <v/>
      </c>
      <c r="CX32" s="1">
        <v>5</v>
      </c>
      <c r="CY32" s="1" t="str">
        <f>IF(CY$25&lt;&gt;$H$25,"",IF(CY$25=$H$25,IFERROR(VLOOKUP($F30,$I$26:$J$34,2,0),"")))</f>
        <v/>
      </c>
      <c r="CZ32" s="1">
        <v>6</v>
      </c>
      <c r="DA32" s="1" t="str">
        <f>IF(DA$25&lt;&gt;$H$25,"",IF(DA$25=$H$25,IFERROR(VLOOKUP($F31,$I$26:$J$34,2,0),"")))</f>
        <v/>
      </c>
      <c r="DB32" s="1">
        <v>6</v>
      </c>
      <c r="DC32" s="1" t="str">
        <f>IF(DC$25&lt;&gt;$H$25,"",IF(DC$25=$H$25,IFERROR(VLOOKUP($F31,$I$26:$J$34,2,0),"")))</f>
        <v/>
      </c>
      <c r="DD32" s="1">
        <v>5</v>
      </c>
      <c r="DE32" s="1" t="str">
        <f>IF(DE$25&lt;&gt;$H$25,"",IF(DE$25=$H$25,IFERROR(VLOOKUP($F30,$I$26:$J$34,2,0),"")))</f>
        <v/>
      </c>
      <c r="DF32" s="1">
        <v>5</v>
      </c>
      <c r="DG32" s="1" t="str">
        <f>IF(DG$25&lt;&gt;$H$25,"",IF(DG$25=$H$25,IFERROR(VLOOKUP($F30,$I$26:$J$34,2,0),"")))</f>
        <v/>
      </c>
      <c r="DH32" s="1">
        <v>7</v>
      </c>
      <c r="DI32" s="1" t="str">
        <f t="shared" si="39"/>
        <v/>
      </c>
      <c r="DJ32" s="1">
        <v>6</v>
      </c>
      <c r="DK32" s="1" t="str">
        <f>IF(DK$25&lt;&gt;$H$25,"",IF(DK$25=$H$25,IFERROR(VLOOKUP($F31,$I$26:$J$34,2,0),"")))</f>
        <v/>
      </c>
      <c r="DL32" s="1">
        <v>6</v>
      </c>
      <c r="DM32" s="1" t="str">
        <f t="shared" si="49"/>
        <v/>
      </c>
      <c r="DN32" s="1">
        <v>7</v>
      </c>
      <c r="DO32" s="1" t="str">
        <f>IF(DO$25&lt;&gt;$H$25,"",IF(DO$25=$H$25,IFERROR(VLOOKUP($F32,$I$26:$J$34,2,0),"")))</f>
        <v/>
      </c>
    </row>
    <row r="33" spans="1:119" x14ac:dyDescent="0.25">
      <c r="A33" s="26">
        <f>E32-E33</f>
        <v>0</v>
      </c>
      <c r="B33" s="1" t="s">
        <v>82</v>
      </c>
      <c r="C33" s="41">
        <f>IF('INSCRIPTION DES JOUEURS'!K31="","",'INSCRIPTION DES JOUEURS'!K31)</f>
        <v>0</v>
      </c>
      <c r="D33" s="269" t="str">
        <f t="shared" si="14"/>
        <v/>
      </c>
      <c r="E33">
        <f>COUNTBLANK(D32:D34)</f>
        <v>3</v>
      </c>
      <c r="F33" s="1">
        <v>8</v>
      </c>
      <c r="G33" s="1" t="str">
        <f t="shared" si="15"/>
        <v/>
      </c>
      <c r="H33" s="1" t="str">
        <f t="shared" si="10"/>
        <v/>
      </c>
      <c r="I33" s="1" t="str">
        <f t="shared" si="11"/>
        <v/>
      </c>
      <c r="J33" s="1" t="str">
        <f t="shared" si="50"/>
        <v/>
      </c>
      <c r="K33" s="1" t="e">
        <f>'INSCRIPTION DES JOUEURS'!#REF!</f>
        <v>#REF!</v>
      </c>
      <c r="L33" s="1" t="str">
        <f t="shared" si="16"/>
        <v/>
      </c>
      <c r="M33" s="1" t="e">
        <f t="shared" si="17"/>
        <v>#REF!</v>
      </c>
      <c r="N33" s="1" t="str">
        <f t="shared" si="18"/>
        <v/>
      </c>
      <c r="O33" s="1" t="str">
        <f t="shared" si="19"/>
        <v/>
      </c>
      <c r="P33" s="1">
        <v>8</v>
      </c>
      <c r="Q33" s="27" t="str">
        <f t="shared" si="20"/>
        <v/>
      </c>
      <c r="R33" s="27" t="str">
        <f>IFERROR(VLOOKUP(Q33,Listing!$Z$3:$AB$157,3,0),"")</f>
        <v/>
      </c>
      <c r="S33" s="27" t="str">
        <f t="shared" si="21"/>
        <v/>
      </c>
      <c r="T33" s="27"/>
      <c r="V33" s="1">
        <v>8</v>
      </c>
      <c r="X33" s="1">
        <v>8</v>
      </c>
      <c r="Y33" s="1" t="str">
        <f t="shared" si="22"/>
        <v/>
      </c>
      <c r="Z33" s="1">
        <v>8</v>
      </c>
      <c r="AA33" s="1" t="str">
        <f t="shared" si="23"/>
        <v/>
      </c>
      <c r="AB33" s="1">
        <v>8</v>
      </c>
      <c r="AC33" s="1" t="str">
        <f t="shared" si="12"/>
        <v/>
      </c>
      <c r="AD33" s="1">
        <v>8</v>
      </c>
      <c r="AE33" s="1" t="str">
        <f t="shared" si="24"/>
        <v/>
      </c>
      <c r="AF33" s="1">
        <v>8</v>
      </c>
      <c r="AG33" s="1" t="str">
        <f t="shared" si="46"/>
        <v/>
      </c>
      <c r="AH33" s="1">
        <v>8</v>
      </c>
      <c r="AI33" s="1" t="str">
        <f t="shared" si="53"/>
        <v/>
      </c>
      <c r="AJ33" s="1">
        <v>8</v>
      </c>
      <c r="AK33" s="1" t="str">
        <f t="shared" si="25"/>
        <v/>
      </c>
      <c r="AL33" s="1">
        <v>8</v>
      </c>
      <c r="AM33" s="1" t="str">
        <f t="shared" si="54"/>
        <v/>
      </c>
      <c r="AN33" s="1">
        <v>8</v>
      </c>
      <c r="AO33" s="1" t="str">
        <f t="shared" si="55"/>
        <v/>
      </c>
      <c r="AP33" s="1">
        <v>8</v>
      </c>
      <c r="AQ33" s="1" t="str">
        <f t="shared" si="62"/>
        <v/>
      </c>
      <c r="AR33" s="1">
        <v>8</v>
      </c>
      <c r="AS33" s="1" t="str">
        <f t="shared" si="56"/>
        <v/>
      </c>
      <c r="AT33" s="1">
        <v>8</v>
      </c>
      <c r="AU33" s="1" t="str">
        <f t="shared" si="57"/>
        <v/>
      </c>
      <c r="AV33" s="1">
        <v>8</v>
      </c>
      <c r="AW33" s="1" t="str">
        <f t="shared" si="58"/>
        <v/>
      </c>
      <c r="AX33" s="1">
        <v>8</v>
      </c>
      <c r="AY33" s="1" t="str">
        <f t="shared" si="59"/>
        <v/>
      </c>
      <c r="AZ33" s="1">
        <v>8</v>
      </c>
      <c r="BA33" s="1" t="str">
        <f t="shared" si="60"/>
        <v/>
      </c>
      <c r="BB33" s="1">
        <v>8</v>
      </c>
      <c r="BC33" s="1" t="str">
        <f t="shared" si="61"/>
        <v/>
      </c>
      <c r="BD33" s="1">
        <v>8</v>
      </c>
      <c r="BE33" s="1" t="str">
        <f t="shared" si="26"/>
        <v/>
      </c>
      <c r="BF33" s="1">
        <v>8</v>
      </c>
      <c r="BG33" s="1" t="str">
        <f t="shared" si="27"/>
        <v/>
      </c>
      <c r="BH33" s="1">
        <v>8</v>
      </c>
      <c r="BI33" s="1" t="str">
        <f t="shared" si="28"/>
        <v/>
      </c>
      <c r="BJ33" s="1">
        <v>8</v>
      </c>
      <c r="BK33" s="1" t="str">
        <f t="shared" si="29"/>
        <v/>
      </c>
      <c r="BL33" s="1">
        <v>8</v>
      </c>
      <c r="BM33" s="1" t="str">
        <f t="shared" si="30"/>
        <v/>
      </c>
      <c r="BN33" s="1">
        <v>8</v>
      </c>
      <c r="BO33" s="1" t="str">
        <f t="shared" si="31"/>
        <v/>
      </c>
      <c r="BP33" s="1">
        <v>8</v>
      </c>
      <c r="BQ33" s="1" t="str">
        <f t="shared" si="63"/>
        <v/>
      </c>
      <c r="BR33" s="1">
        <v>8</v>
      </c>
      <c r="BS33" s="1" t="str">
        <f t="shared" si="51"/>
        <v/>
      </c>
      <c r="BT33" s="1">
        <v>8</v>
      </c>
      <c r="BU33" s="1" t="str">
        <f t="shared" si="47"/>
        <v/>
      </c>
      <c r="BV33" s="1">
        <v>8</v>
      </c>
      <c r="BW33" s="1" t="str">
        <f t="shared" si="43"/>
        <v/>
      </c>
      <c r="BX33" s="1">
        <v>8</v>
      </c>
      <c r="BY33" s="1" t="str">
        <f t="shared" si="43"/>
        <v/>
      </c>
      <c r="BZ33" s="1">
        <v>8</v>
      </c>
      <c r="CA33" s="1" t="str">
        <f t="shared" si="43"/>
        <v/>
      </c>
      <c r="CB33" s="1">
        <v>8</v>
      </c>
      <c r="CC33" s="1" t="str">
        <f t="shared" si="32"/>
        <v/>
      </c>
      <c r="CD33" s="1">
        <v>8</v>
      </c>
      <c r="CE33" s="1" t="str">
        <f t="shared" si="33"/>
        <v/>
      </c>
      <c r="CF33" s="1">
        <v>8</v>
      </c>
      <c r="CG33" s="1" t="str">
        <f t="shared" si="34"/>
        <v/>
      </c>
      <c r="CH33" s="1">
        <v>8</v>
      </c>
      <c r="CI33" s="1" t="str">
        <f t="shared" si="44"/>
        <v/>
      </c>
      <c r="CJ33" s="1">
        <v>8</v>
      </c>
      <c r="CK33" s="1" t="str">
        <f>IF(CK$25&lt;&gt;$H$25,"",IF(CK$25=$H$25,IFERROR(VLOOKUP($F33,$I$26:$J$34,2,0),"")))</f>
        <v/>
      </c>
      <c r="CL33" s="1">
        <v>8</v>
      </c>
      <c r="CM33" s="1" t="str">
        <f>IF(CM$25&lt;&gt;$H$25,"",IF(CM$25=$H$25,IFERROR(VLOOKUP($F33,$I$26:$J$34,2,0),"")))</f>
        <v/>
      </c>
      <c r="CN33" s="1">
        <v>8</v>
      </c>
      <c r="CO33" s="1" t="str">
        <f t="shared" si="45"/>
        <v/>
      </c>
      <c r="CP33" s="1">
        <v>8</v>
      </c>
      <c r="CQ33" s="1" t="str">
        <f t="shared" si="52"/>
        <v/>
      </c>
      <c r="CR33" s="1">
        <v>8</v>
      </c>
      <c r="CS33" s="1" t="str">
        <f t="shared" si="37"/>
        <v/>
      </c>
      <c r="CT33" s="1">
        <v>8</v>
      </c>
      <c r="CU33" s="1" t="str">
        <f t="shared" si="13"/>
        <v/>
      </c>
      <c r="CV33" s="27">
        <v>5</v>
      </c>
      <c r="CW33" s="1" t="str">
        <f>IF(CW$25&lt;&gt;$H$25,"",IF(CW$25=$H$25,IFERROR(VLOOKUP($F30,$I$26:$J$34,2,0),"")))</f>
        <v/>
      </c>
      <c r="CX33" s="1">
        <v>6</v>
      </c>
      <c r="CY33" s="1" t="str">
        <f>IF(CY$25&lt;&gt;$H$25,"",IF(CY$25=$H$25,IFERROR(VLOOKUP($F31,$I$26:$J$34,2,0),"")))</f>
        <v/>
      </c>
      <c r="CZ33" s="1">
        <v>7</v>
      </c>
      <c r="DA33" s="1" t="str">
        <f>IF(DA$25&lt;&gt;$H$25,"",IF(DA$25=$H$25,IFERROR(VLOOKUP($F32,$I$26:$J$34,2,0),"")))</f>
        <v/>
      </c>
      <c r="DB33" s="1">
        <v>7</v>
      </c>
      <c r="DC33" s="1" t="str">
        <f>IF(DC$25&lt;&gt;$H$25,"",IF(DC$25=$H$25,IFERROR(VLOOKUP($F32,$I$26:$J$34,2,0),"")))</f>
        <v/>
      </c>
      <c r="DD33" s="1">
        <v>6</v>
      </c>
      <c r="DE33" s="1" t="str">
        <f>IF(DE$25&lt;&gt;$H$25,"",IF(DE$25=$H$25,IFERROR(VLOOKUP($F31,$I$26:$J$34,2,0),"")))</f>
        <v/>
      </c>
      <c r="DF33" s="1">
        <v>7</v>
      </c>
      <c r="DG33" s="1" t="str">
        <f>IF(DG$25&lt;&gt;$H$25,"",IF(DG$25=$H$25,IFERROR(VLOOKUP($F32,$I$26:$J$34,2,0),"")))</f>
        <v/>
      </c>
      <c r="DH33" s="1">
        <v>8</v>
      </c>
      <c r="DI33" s="1" t="str">
        <f t="shared" si="39"/>
        <v/>
      </c>
      <c r="DJ33" s="1">
        <v>7</v>
      </c>
      <c r="DK33" s="1" t="str">
        <f>IF(DK$25&lt;&gt;$H$25,"",IF(DK$25=$H$25,IFERROR(VLOOKUP($F32,$I$26:$J$34,2,0),"")))</f>
        <v/>
      </c>
      <c r="DL33" s="1">
        <v>7</v>
      </c>
      <c r="DM33" s="1" t="str">
        <f t="shared" si="49"/>
        <v/>
      </c>
      <c r="DN33" s="1">
        <v>8</v>
      </c>
      <c r="DO33" s="1" t="str">
        <f t="shared" si="42"/>
        <v/>
      </c>
    </row>
    <row r="34" spans="1:119" ht="15.75" thickBot="1" x14ac:dyDescent="0.3">
      <c r="B34" s="1" t="s">
        <v>83</v>
      </c>
      <c r="C34" s="42">
        <f>IF('INSCRIPTION DES JOUEURS'!K32="","",'INSCRIPTION DES JOUEURS'!K32)</f>
        <v>0</v>
      </c>
      <c r="D34" s="269" t="str">
        <f t="shared" si="14"/>
        <v/>
      </c>
      <c r="F34" s="1">
        <v>9</v>
      </c>
      <c r="G34" s="1" t="str">
        <f t="shared" si="15"/>
        <v/>
      </c>
      <c r="H34" s="1" t="str">
        <f t="shared" si="10"/>
        <v/>
      </c>
      <c r="I34" s="1" t="str">
        <f t="shared" si="11"/>
        <v/>
      </c>
      <c r="J34" s="1" t="str">
        <f t="shared" si="50"/>
        <v/>
      </c>
      <c r="K34" s="1" t="e">
        <f>'INSCRIPTION DES JOUEURS'!#REF!</f>
        <v>#REF!</v>
      </c>
      <c r="L34" s="1" t="str">
        <f t="shared" si="16"/>
        <v/>
      </c>
      <c r="M34" s="1" t="e">
        <f t="shared" si="17"/>
        <v>#REF!</v>
      </c>
      <c r="N34" s="1" t="str">
        <f t="shared" si="18"/>
        <v/>
      </c>
      <c r="O34" s="1" t="str">
        <f t="shared" si="19"/>
        <v/>
      </c>
      <c r="P34" s="1">
        <v>9</v>
      </c>
      <c r="Q34" s="27" t="str">
        <f t="shared" si="20"/>
        <v/>
      </c>
      <c r="R34" s="27" t="str">
        <f>IFERROR(VLOOKUP(Q34,Listing!$Z$3:$AB$157,3,0),"")</f>
        <v/>
      </c>
      <c r="S34" s="27" t="str">
        <f t="shared" si="21"/>
        <v/>
      </c>
      <c r="T34" s="27"/>
      <c r="V34" s="1">
        <v>9</v>
      </c>
      <c r="X34" s="1">
        <v>9</v>
      </c>
      <c r="Y34" s="1" t="str">
        <f t="shared" si="22"/>
        <v/>
      </c>
      <c r="Z34" s="1">
        <v>9</v>
      </c>
      <c r="AA34" s="1" t="str">
        <f t="shared" si="23"/>
        <v/>
      </c>
      <c r="AB34" s="1">
        <v>9</v>
      </c>
      <c r="AC34" s="1" t="str">
        <f t="shared" si="12"/>
        <v/>
      </c>
      <c r="AD34" s="1">
        <v>9</v>
      </c>
      <c r="AE34" s="1" t="str">
        <f t="shared" si="24"/>
        <v/>
      </c>
      <c r="AF34" s="1">
        <v>9</v>
      </c>
      <c r="AG34" s="1" t="str">
        <f t="shared" si="46"/>
        <v/>
      </c>
      <c r="AH34" s="1">
        <v>9</v>
      </c>
      <c r="AI34" s="1" t="str">
        <f t="shared" si="53"/>
        <v/>
      </c>
      <c r="AJ34" s="1">
        <v>9</v>
      </c>
      <c r="AK34" s="1" t="str">
        <f t="shared" si="25"/>
        <v/>
      </c>
      <c r="AL34" s="1">
        <v>9</v>
      </c>
      <c r="AM34" s="1" t="str">
        <f t="shared" si="54"/>
        <v/>
      </c>
      <c r="AN34" s="1">
        <v>9</v>
      </c>
      <c r="AO34" s="1" t="str">
        <f t="shared" si="55"/>
        <v/>
      </c>
      <c r="AP34" s="1">
        <v>9</v>
      </c>
      <c r="AQ34" s="1" t="str">
        <f t="shared" si="62"/>
        <v/>
      </c>
      <c r="AR34" s="1">
        <v>9</v>
      </c>
      <c r="AS34" s="1" t="str">
        <f t="shared" si="56"/>
        <v/>
      </c>
      <c r="AT34" s="1">
        <v>9</v>
      </c>
      <c r="AU34" s="1" t="str">
        <f t="shared" si="57"/>
        <v/>
      </c>
      <c r="AV34" s="1">
        <v>9</v>
      </c>
      <c r="AW34" s="1" t="str">
        <f t="shared" si="58"/>
        <v/>
      </c>
      <c r="AX34" s="1">
        <v>9</v>
      </c>
      <c r="AY34" s="1" t="str">
        <f t="shared" si="59"/>
        <v/>
      </c>
      <c r="AZ34" s="1">
        <v>9</v>
      </c>
      <c r="BA34" s="1" t="str">
        <f t="shared" si="60"/>
        <v/>
      </c>
      <c r="BB34" s="1">
        <v>9</v>
      </c>
      <c r="BC34" s="1" t="str">
        <f t="shared" si="61"/>
        <v/>
      </c>
      <c r="BD34" s="1">
        <v>9</v>
      </c>
      <c r="BE34" s="1" t="str">
        <f t="shared" si="26"/>
        <v/>
      </c>
      <c r="BF34" s="1">
        <v>9</v>
      </c>
      <c r="BG34" s="1" t="str">
        <f t="shared" si="27"/>
        <v/>
      </c>
      <c r="BH34" s="1">
        <v>9</v>
      </c>
      <c r="BI34" s="1" t="str">
        <f t="shared" si="28"/>
        <v/>
      </c>
      <c r="BJ34" s="1">
        <v>9</v>
      </c>
      <c r="BK34" s="1" t="str">
        <f t="shared" si="29"/>
        <v/>
      </c>
      <c r="BL34" s="1">
        <v>9</v>
      </c>
      <c r="BM34" s="1" t="str">
        <f t="shared" si="30"/>
        <v/>
      </c>
      <c r="BN34" s="1">
        <v>9</v>
      </c>
      <c r="BO34" s="1" t="str">
        <f t="shared" si="31"/>
        <v/>
      </c>
      <c r="BP34" s="1">
        <v>9</v>
      </c>
      <c r="BQ34" s="1" t="str">
        <f t="shared" si="63"/>
        <v/>
      </c>
      <c r="BR34" s="1">
        <v>9</v>
      </c>
      <c r="BS34" s="1" t="str">
        <f t="shared" si="51"/>
        <v/>
      </c>
      <c r="BT34" s="1">
        <v>9</v>
      </c>
      <c r="BU34" s="1" t="str">
        <f t="shared" si="47"/>
        <v/>
      </c>
      <c r="BV34" s="1">
        <v>9</v>
      </c>
      <c r="BW34" s="1" t="str">
        <f t="shared" si="43"/>
        <v/>
      </c>
      <c r="BX34" s="1">
        <v>9</v>
      </c>
      <c r="BY34" s="1" t="str">
        <f t="shared" si="43"/>
        <v/>
      </c>
      <c r="BZ34" s="1">
        <v>9</v>
      </c>
      <c r="CA34" s="1" t="str">
        <f t="shared" si="43"/>
        <v/>
      </c>
      <c r="CB34" s="1">
        <v>9</v>
      </c>
      <c r="CC34" s="1" t="str">
        <f t="shared" si="32"/>
        <v/>
      </c>
      <c r="CD34" s="1">
        <v>9</v>
      </c>
      <c r="CE34" s="1" t="str">
        <f t="shared" si="33"/>
        <v/>
      </c>
      <c r="CF34" s="1">
        <v>9</v>
      </c>
      <c r="CG34" s="1" t="str">
        <f t="shared" si="34"/>
        <v/>
      </c>
      <c r="CH34" s="1">
        <v>9</v>
      </c>
      <c r="CI34" s="1" t="str">
        <f t="shared" si="44"/>
        <v/>
      </c>
      <c r="CJ34" s="1">
        <v>9</v>
      </c>
      <c r="CK34" s="1" t="str">
        <f>IF(CK$25&lt;&gt;$H$25,"",IF(CK$25=$H$25,IFERROR(VLOOKUP($F34,$I$26:$J$34,2,0),"")))</f>
        <v/>
      </c>
      <c r="CL34" s="1">
        <v>9</v>
      </c>
      <c r="CM34" s="1" t="str">
        <f>IF(CM$25&lt;&gt;$H$25,"",IF(CM$25=$H$25,IFERROR(VLOOKUP($F34,$I$26:$J$34,2,0),"")))</f>
        <v/>
      </c>
      <c r="CN34" s="1">
        <v>9</v>
      </c>
      <c r="CO34" s="1" t="str">
        <f t="shared" si="45"/>
        <v/>
      </c>
      <c r="CP34" s="1">
        <v>9</v>
      </c>
      <c r="CQ34" s="1" t="str">
        <f t="shared" si="52"/>
        <v/>
      </c>
      <c r="CR34" s="1">
        <v>9</v>
      </c>
      <c r="CS34" s="1" t="str">
        <f t="shared" si="37"/>
        <v/>
      </c>
      <c r="CT34" s="1">
        <v>9</v>
      </c>
      <c r="CU34" s="1" t="str">
        <f t="shared" si="13"/>
        <v/>
      </c>
      <c r="CV34" s="1">
        <v>9</v>
      </c>
      <c r="CW34" s="1" t="str">
        <f>IF(CW$25&lt;&gt;$H$25,"",IF(CW$25=$H$25,IFERROR(VLOOKUP($F34,$I$26:$J$34,2,0),"")))</f>
        <v/>
      </c>
      <c r="CX34" s="1">
        <v>7</v>
      </c>
      <c r="CY34" s="1" t="str">
        <f>IF(CY$25&lt;&gt;$H$25,"",IF(CY$25=$H$25,IFERROR(VLOOKUP($F32,$I$26:$J$34,2,0),"")))</f>
        <v/>
      </c>
      <c r="CZ34" s="1">
        <v>9</v>
      </c>
      <c r="DA34" s="1" t="str">
        <f>IF(DA$25&lt;&gt;$H$25,"",IF(DA$25=$H$25,IFERROR(VLOOKUP($F34,$I$26:$J$34,2,0),"")))</f>
        <v/>
      </c>
      <c r="DB34" s="1">
        <v>9</v>
      </c>
      <c r="DC34" s="1" t="str">
        <f>IF(DC$25&lt;&gt;$H$25,"",IF(DC$25=$H$25,IFERROR(VLOOKUP($F34,$I$26:$J$34,2,0),"")))</f>
        <v/>
      </c>
      <c r="DD34" s="1">
        <v>7</v>
      </c>
      <c r="DE34" s="1" t="str">
        <f>IF(DE$25&lt;&gt;$H$25,"",IF(DE$25=$H$25,IFERROR(VLOOKUP($F32,$I$26:$J$34,2,0),"")))</f>
        <v/>
      </c>
      <c r="DF34" s="1">
        <v>9</v>
      </c>
      <c r="DG34" s="1" t="str">
        <f>IF(DG$25&lt;&gt;$H$25,"",IF(DG$25=$H$25,IFERROR(VLOOKUP($F34,$I$26:$J$34,2,0),"")))</f>
        <v/>
      </c>
      <c r="DH34" s="27">
        <v>9</v>
      </c>
      <c r="DI34" s="1" t="str">
        <f t="shared" si="39"/>
        <v/>
      </c>
      <c r="DJ34" s="1">
        <v>8</v>
      </c>
      <c r="DK34" s="1" t="str">
        <f>IF(DK$25&lt;&gt;$H$25,"",IF(DK$25=$H$25,IFERROR(VLOOKUP($F33,$I$26:$J$34,2,0),"")))</f>
        <v/>
      </c>
      <c r="DL34" s="1">
        <v>8</v>
      </c>
      <c r="DM34" s="1" t="str">
        <f t="shared" si="49"/>
        <v/>
      </c>
      <c r="DN34" s="1">
        <v>9</v>
      </c>
      <c r="DO34" s="1" t="str">
        <f t="shared" si="42"/>
        <v/>
      </c>
    </row>
    <row r="35" spans="1:119" x14ac:dyDescent="0.25">
      <c r="F35" s="1">
        <v>10</v>
      </c>
      <c r="W35" s="1" t="str">
        <f>W22&amp;W23&amp;W24</f>
        <v>200</v>
      </c>
      <c r="Y35" s="1" t="str">
        <f>Y22&amp;Y23&amp;Y24</f>
        <v>110</v>
      </c>
      <c r="AA35" s="1" t="str">
        <f>AA22&amp;AA23&amp;AA24</f>
        <v>300</v>
      </c>
      <c r="AC35" s="1" t="str">
        <f>AC22&amp;AC23&amp;AC24</f>
        <v>210</v>
      </c>
      <c r="AE35" s="1" t="str">
        <f>AE22&amp;AE23&amp;AE24</f>
        <v>120</v>
      </c>
      <c r="AG35" s="1" t="str">
        <f>AG22&amp;AG23&amp;AG24</f>
        <v>310</v>
      </c>
      <c r="AI35" s="1" t="str">
        <f>AI22&amp;AI23&amp;AI24</f>
        <v>301</v>
      </c>
      <c r="AK35" s="1" t="str">
        <f>AK22&amp;AK23&amp;AK24</f>
        <v>220</v>
      </c>
      <c r="AM35" s="1" t="str">
        <f>AM22&amp;AM23&amp;AM24</f>
        <v>211</v>
      </c>
      <c r="AO35" s="1" t="str">
        <f>AO22&amp;AO23&amp;AO24</f>
        <v>202</v>
      </c>
      <c r="AQ35" s="1" t="str">
        <f>AQ22&amp;AQ23&amp;AQ24</f>
        <v>130</v>
      </c>
      <c r="AS35" s="1" t="str">
        <f>AS22&amp;AS23&amp;AS24</f>
        <v>121</v>
      </c>
      <c r="AU35" s="1" t="str">
        <f>AU22&amp;AU23&amp;AU24</f>
        <v>112</v>
      </c>
      <c r="AW35" s="1" t="str">
        <f>AW22&amp;AW23&amp;AW24</f>
        <v>103</v>
      </c>
      <c r="AY35" s="1" t="str">
        <f>AY22&amp;AY23&amp;AY24</f>
        <v>031</v>
      </c>
      <c r="BA35" s="1" t="str">
        <f>BA22&amp;BA23&amp;BA24</f>
        <v>022</v>
      </c>
      <c r="BC35" s="1" t="str">
        <f>BC22&amp;BC23&amp;BC24</f>
        <v>013</v>
      </c>
      <c r="BE35" s="1" t="str">
        <f>BE22&amp;BE23&amp;BE24</f>
        <v>320</v>
      </c>
      <c r="BG35" s="1" t="str">
        <f>BG22&amp;BG23&amp;BG24</f>
        <v>311</v>
      </c>
      <c r="BI35" s="1" t="str">
        <f>BI22&amp;BI23&amp;BI24</f>
        <v>302</v>
      </c>
      <c r="BK35" s="1" t="str">
        <f>BK22&amp;BK23&amp;BK24</f>
        <v>230</v>
      </c>
      <c r="BM35" s="1" t="str">
        <f>BM22&amp;BM23&amp;BM24</f>
        <v>221</v>
      </c>
      <c r="BO35" s="1" t="str">
        <f>BO22&amp;BO23&amp;BO24</f>
        <v>212</v>
      </c>
      <c r="BQ35" s="1" t="str">
        <f>BQ22&amp;BQ23&amp;BQ24</f>
        <v>203</v>
      </c>
      <c r="BS35" s="1" t="str">
        <f>BS22&amp;BS23&amp;BS24</f>
        <v>131</v>
      </c>
      <c r="BT35" s="1"/>
      <c r="BU35" s="1" t="str">
        <f>BU22&amp;BU23&amp;BU24</f>
        <v>122</v>
      </c>
      <c r="BV35" s="1"/>
      <c r="BW35" s="1" t="str">
        <f>BW22&amp;BW23&amp;BW24</f>
        <v>113</v>
      </c>
      <c r="BX35" s="1"/>
      <c r="BY35" s="1" t="str">
        <f>BY22&amp;BY23&amp;BY24</f>
        <v>032</v>
      </c>
      <c r="BZ35" s="1"/>
      <c r="CA35" s="1" t="str">
        <f>CA22&amp;CA23&amp;CA24</f>
        <v>023</v>
      </c>
      <c r="CB35" s="1"/>
      <c r="CC35" s="1" t="str">
        <f>CC22&amp;CC23&amp;CC24</f>
        <v>330</v>
      </c>
      <c r="CE35" s="1" t="str">
        <f>CE22&amp;CE23&amp;CE24</f>
        <v>321</v>
      </c>
      <c r="CG35" s="1" t="str">
        <f>CG22&amp;CG23&amp;CG24</f>
        <v>312</v>
      </c>
      <c r="CI35" s="1" t="str">
        <f>CI22&amp;CI23&amp;CI24</f>
        <v>303</v>
      </c>
      <c r="CK35" s="1" t="str">
        <f>CK22&amp;CK23&amp;CK24</f>
        <v>231</v>
      </c>
      <c r="CM35" s="1" t="str">
        <f>CM22&amp;CM23&amp;CM24</f>
        <v>222</v>
      </c>
      <c r="CO35" s="1" t="str">
        <f>CO22&amp;CO23&amp;CO24</f>
        <v>213</v>
      </c>
      <c r="CQ35" s="1" t="str">
        <f>CQ22&amp;CQ23&amp;CQ24</f>
        <v>132</v>
      </c>
      <c r="CS35" s="1" t="str">
        <f>CS22&amp;CS23&amp;CS24</f>
        <v>123</v>
      </c>
      <c r="CU35" s="1" t="str">
        <f>CU22&amp;CU23&amp;CU24</f>
        <v>033</v>
      </c>
      <c r="CW35" s="1" t="str">
        <f>CW22&amp;CW23&amp;CW24</f>
        <v>331</v>
      </c>
      <c r="CY35" s="1" t="str">
        <f>CY22&amp;CY23&amp;CY24</f>
        <v>313</v>
      </c>
      <c r="DA35" s="1" t="str">
        <f>DA22&amp;DA23&amp;DA24</f>
        <v>322</v>
      </c>
      <c r="DC35" s="1" t="str">
        <f>DC22&amp;DC23&amp;DC24</f>
        <v>232</v>
      </c>
      <c r="DE35" s="1" t="str">
        <f>DE22&amp;DE23&amp;DE24</f>
        <v>223</v>
      </c>
      <c r="DG35" s="1" t="str">
        <f>DG22&amp;DG23&amp;DG24</f>
        <v>133</v>
      </c>
      <c r="DI35" s="1" t="str">
        <f>DI22&amp;DI23&amp;DI24</f>
        <v>332</v>
      </c>
      <c r="DK35" s="1" t="str">
        <f>DK22&amp;DK23&amp;DK24</f>
        <v>323</v>
      </c>
      <c r="DM35" s="1" t="str">
        <f>DM22&amp;DM23&amp;DM24</f>
        <v>233</v>
      </c>
      <c r="DO35" s="1" t="str">
        <f>DO22&amp;DO23&amp;DO24</f>
        <v>333</v>
      </c>
    </row>
    <row r="36" spans="1:119" x14ac:dyDescent="0.25">
      <c r="H36"/>
      <c r="J36" s="1" t="e">
        <f>HLOOKUP($H$25,$W$25:$DO$34,F27,0)</f>
        <v>#N/A</v>
      </c>
      <c r="W36" s="1">
        <v>2</v>
      </c>
      <c r="Y36" s="1">
        <v>3</v>
      </c>
      <c r="AA36" s="1">
        <v>3</v>
      </c>
      <c r="AC36" s="1">
        <v>3</v>
      </c>
      <c r="AE36" s="1">
        <v>3</v>
      </c>
      <c r="AG36" s="1">
        <v>2</v>
      </c>
      <c r="AI36" s="1">
        <v>2</v>
      </c>
      <c r="AK36" s="1">
        <v>2</v>
      </c>
      <c r="AM36" s="1">
        <v>2</v>
      </c>
      <c r="AO36" s="1">
        <v>2</v>
      </c>
      <c r="AQ36" s="1">
        <v>2</v>
      </c>
      <c r="AS36" s="1">
        <v>2</v>
      </c>
      <c r="AU36" s="1">
        <v>2</v>
      </c>
      <c r="AW36" s="1">
        <v>2</v>
      </c>
      <c r="AY36" s="1">
        <v>2</v>
      </c>
      <c r="BA36" s="1">
        <v>2</v>
      </c>
      <c r="BC36" s="1">
        <v>2</v>
      </c>
      <c r="BE36" s="1">
        <v>3</v>
      </c>
      <c r="BG36" s="1">
        <v>3</v>
      </c>
      <c r="BI36" s="1">
        <v>3</v>
      </c>
      <c r="BK36" s="1">
        <v>2</v>
      </c>
      <c r="BM36" s="1">
        <v>3</v>
      </c>
      <c r="BO36" s="1">
        <v>3</v>
      </c>
      <c r="BQ36" s="1">
        <v>2</v>
      </c>
      <c r="BS36" s="1">
        <v>3</v>
      </c>
      <c r="BT36" s="1"/>
      <c r="BU36" s="1">
        <v>2</v>
      </c>
      <c r="BV36" s="1"/>
      <c r="BW36" s="1">
        <v>2</v>
      </c>
      <c r="BX36" s="1"/>
      <c r="BY36" s="1">
        <v>3</v>
      </c>
      <c r="BZ36" s="1"/>
      <c r="CA36" s="1">
        <v>2</v>
      </c>
      <c r="CB36" s="1"/>
      <c r="CC36" s="1">
        <v>3</v>
      </c>
      <c r="CE36" s="1">
        <v>3</v>
      </c>
      <c r="CG36" s="1">
        <v>3</v>
      </c>
      <c r="CI36" s="1">
        <v>3</v>
      </c>
      <c r="CK36" s="1">
        <v>3</v>
      </c>
      <c r="CM36" s="1">
        <v>3</v>
      </c>
      <c r="CO36" s="1">
        <v>3</v>
      </c>
      <c r="CQ36" s="1">
        <v>3</v>
      </c>
      <c r="CS36" s="1">
        <v>3</v>
      </c>
      <c r="CU36" s="1">
        <v>3</v>
      </c>
      <c r="CW36" s="1">
        <v>3</v>
      </c>
      <c r="CY36" s="1">
        <v>2</v>
      </c>
      <c r="DA36" s="1">
        <v>3</v>
      </c>
      <c r="DC36" s="1">
        <v>2</v>
      </c>
      <c r="DE36" s="1">
        <v>2</v>
      </c>
      <c r="DG36" s="1">
        <v>2</v>
      </c>
      <c r="DI36" s="1">
        <v>3</v>
      </c>
      <c r="DK36" s="1">
        <v>3</v>
      </c>
      <c r="DM36" s="1">
        <v>2</v>
      </c>
      <c r="DO36" s="1">
        <v>3</v>
      </c>
    </row>
    <row r="37" spans="1:119" x14ac:dyDescent="0.25">
      <c r="F37" s="1" t="e">
        <f>HLOOKUP($H$25,$W$25:$DO$38,12,0)</f>
        <v>#N/A</v>
      </c>
      <c r="H37"/>
      <c r="J37" s="1" t="e">
        <f>HLOOKUP($H$25,$W$25:$DO$34,F28,0)</f>
        <v>#N/A</v>
      </c>
      <c r="AG37" s="1">
        <v>2</v>
      </c>
      <c r="AI37" s="1">
        <v>2</v>
      </c>
      <c r="AK37" s="1">
        <v>2</v>
      </c>
      <c r="AM37" s="1">
        <v>2</v>
      </c>
      <c r="AO37" s="1">
        <v>2</v>
      </c>
      <c r="AQ37" s="1">
        <v>2</v>
      </c>
      <c r="AS37" s="1">
        <v>2</v>
      </c>
      <c r="AU37" s="1">
        <v>2</v>
      </c>
      <c r="AW37" s="1">
        <v>2</v>
      </c>
      <c r="AY37" s="1">
        <v>2</v>
      </c>
      <c r="BA37" s="1">
        <v>2</v>
      </c>
      <c r="BC37" s="1">
        <v>2</v>
      </c>
      <c r="BE37" s="1">
        <v>2</v>
      </c>
      <c r="BG37" s="1">
        <v>2</v>
      </c>
      <c r="BI37" s="1">
        <v>2</v>
      </c>
      <c r="BK37" s="1">
        <v>3</v>
      </c>
      <c r="BM37" s="1">
        <v>2</v>
      </c>
      <c r="BO37" s="1">
        <v>2</v>
      </c>
      <c r="BQ37" s="1">
        <v>3</v>
      </c>
      <c r="BS37" s="1">
        <v>2</v>
      </c>
      <c r="BT37" s="1"/>
      <c r="BU37" s="1">
        <v>3</v>
      </c>
      <c r="BV37" s="1"/>
      <c r="BW37" s="1">
        <v>3</v>
      </c>
      <c r="BX37" s="1"/>
      <c r="BY37" s="1">
        <v>2</v>
      </c>
      <c r="BZ37" s="1"/>
      <c r="CA37" s="1">
        <v>3</v>
      </c>
      <c r="CB37" s="1"/>
      <c r="CC37" s="1">
        <v>3</v>
      </c>
      <c r="CE37" s="1">
        <v>3</v>
      </c>
      <c r="CG37" s="1">
        <v>3</v>
      </c>
      <c r="CI37" s="1">
        <v>3</v>
      </c>
      <c r="CK37" s="1">
        <v>3</v>
      </c>
      <c r="CM37" s="1">
        <v>3</v>
      </c>
      <c r="CO37" s="1">
        <v>3</v>
      </c>
      <c r="CQ37" s="1">
        <v>3</v>
      </c>
      <c r="CS37" s="1">
        <v>3</v>
      </c>
      <c r="CU37" s="1">
        <v>3</v>
      </c>
      <c r="CW37" s="1">
        <v>2</v>
      </c>
      <c r="CY37" s="1">
        <v>2</v>
      </c>
      <c r="DA37" s="1">
        <v>2</v>
      </c>
      <c r="DC37" s="1">
        <v>3</v>
      </c>
      <c r="DE37" s="1">
        <v>2</v>
      </c>
      <c r="DG37" s="1">
        <v>3</v>
      </c>
      <c r="DI37" s="1">
        <v>3</v>
      </c>
      <c r="DK37" s="1">
        <v>2</v>
      </c>
      <c r="DM37" s="1">
        <v>3</v>
      </c>
      <c r="DO37" s="1">
        <v>3</v>
      </c>
    </row>
    <row r="38" spans="1:119" x14ac:dyDescent="0.25">
      <c r="H38"/>
      <c r="J38" s="1" t="e">
        <f>HLOOKUP($H$25,$W$25:$DO$34,F29,0)</f>
        <v>#N/A</v>
      </c>
      <c r="CB38" s="1"/>
      <c r="CW38" s="1">
        <v>2</v>
      </c>
      <c r="CY38" s="1">
        <v>3</v>
      </c>
      <c r="DA38" s="1">
        <v>2</v>
      </c>
      <c r="DC38" s="1">
        <v>2</v>
      </c>
      <c r="DE38" s="1">
        <v>3</v>
      </c>
      <c r="DG38" s="1">
        <v>2</v>
      </c>
      <c r="DI38" s="1">
        <v>2</v>
      </c>
      <c r="DK38" s="1">
        <v>3</v>
      </c>
      <c r="DM38" s="1">
        <v>3</v>
      </c>
      <c r="DO38" s="1">
        <v>3</v>
      </c>
    </row>
    <row r="39" spans="1:119" x14ac:dyDescent="0.25">
      <c r="H39"/>
      <c r="J39" s="1" t="e">
        <f>HLOOKUP($H$25,$W$25:$DO$34,F30,0)</f>
        <v>#N/A</v>
      </c>
      <c r="BT39" s="1"/>
      <c r="BU39" s="1"/>
      <c r="BV39" s="1"/>
      <c r="BW39" s="1"/>
      <c r="BX39" s="1"/>
      <c r="BY39" s="1"/>
      <c r="BZ39" s="1"/>
      <c r="CA39" s="1"/>
      <c r="CB39" s="1"/>
    </row>
    <row r="40" spans="1:119" x14ac:dyDescent="0.25">
      <c r="F40" s="1" t="e">
        <f>HLOOKUP($H$25,$W$25:$DO$38,13,0)</f>
        <v>#N/A</v>
      </c>
      <c r="H40"/>
      <c r="J40" s="1" t="e">
        <f t="shared" ref="J40:J44" si="64">HLOOKUP($H$25,$W$25:$DO$34,F31,0)</f>
        <v>#N/A</v>
      </c>
    </row>
    <row r="41" spans="1:119" x14ac:dyDescent="0.25">
      <c r="H41"/>
      <c r="J41" s="1" t="e">
        <f>HLOOKUP($H$25,$W$25:$DO$34,F32,0)</f>
        <v>#N/A</v>
      </c>
    </row>
    <row r="42" spans="1:119" x14ac:dyDescent="0.25">
      <c r="H42"/>
      <c r="J42" s="1" t="e">
        <f>HLOOKUP($H$25,$W$25:$DO$34,F33,0)</f>
        <v>#N/A</v>
      </c>
    </row>
    <row r="43" spans="1:119" x14ac:dyDescent="0.25">
      <c r="F43" s="1" t="e">
        <f>HLOOKUP($H$25,$W$25:$DO$38,14,0)</f>
        <v>#N/A</v>
      </c>
      <c r="H43"/>
      <c r="J43" s="1" t="e">
        <f t="shared" si="64"/>
        <v>#N/A</v>
      </c>
      <c r="W43" s="1" t="s">
        <v>135</v>
      </c>
      <c r="Y43" s="1" t="s">
        <v>135</v>
      </c>
      <c r="AA43" s="1" t="s">
        <v>135</v>
      </c>
      <c r="AC43" s="1" t="s">
        <v>135</v>
      </c>
      <c r="AE43" s="1" t="s">
        <v>135</v>
      </c>
      <c r="BE43" s="1" t="s">
        <v>135</v>
      </c>
      <c r="BG43" s="1" t="s">
        <v>135</v>
      </c>
      <c r="BI43" s="1" t="s">
        <v>135</v>
      </c>
      <c r="BO43" s="1" t="s">
        <v>135</v>
      </c>
      <c r="CC43" s="1" t="s">
        <v>135</v>
      </c>
      <c r="CE43" s="1" t="s">
        <v>135</v>
      </c>
      <c r="CG43" s="1" t="s">
        <v>135</v>
      </c>
    </row>
    <row r="44" spans="1:119" x14ac:dyDescent="0.25">
      <c r="H44"/>
      <c r="J44" s="1" t="e">
        <f t="shared" si="64"/>
        <v>#N/A</v>
      </c>
    </row>
  </sheetData>
  <sheetProtection algorithmName="SHA-512" hashValue="0lCM+JqWh4R7Edzp1mkTC5tkg4tqL7r2tYD6+aN1unIrN6AsXLMdjQHsqbqLbMx3pbWiWWpriaIvOywS93MfsQ==" saltValue="gLSqLsTOWwL1VLBosPiT0w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1:AI39"/>
  <sheetViews>
    <sheetView workbookViewId="0">
      <selection activeCell="AA32" sqref="AA32"/>
    </sheetView>
  </sheetViews>
  <sheetFormatPr baseColWidth="10" defaultRowHeight="15" x14ac:dyDescent="0.25"/>
  <cols>
    <col min="1" max="1" width="2.5703125" customWidth="1"/>
    <col min="2" max="2" width="8.140625" bestFit="1" customWidth="1"/>
    <col min="3" max="3" width="21.28515625" bestFit="1" customWidth="1"/>
    <col min="4" max="4" width="4" bestFit="1" customWidth="1"/>
    <col min="5" max="5" width="4.42578125" bestFit="1" customWidth="1"/>
    <col min="6" max="6" width="3.85546875" bestFit="1" customWidth="1"/>
    <col min="7" max="7" width="4.85546875" bestFit="1" customWidth="1"/>
    <col min="8" max="8" width="9.5703125" bestFit="1" customWidth="1"/>
    <col min="9" max="9" width="2.85546875" customWidth="1"/>
    <col min="10" max="10" width="2.7109375" customWidth="1"/>
    <col min="11" max="11" width="9.5703125" bestFit="1" customWidth="1"/>
    <col min="12" max="12" width="18.5703125" bestFit="1" customWidth="1"/>
    <col min="13" max="13" width="3.7109375" bestFit="1" customWidth="1"/>
    <col min="14" max="14" width="4.42578125" bestFit="1" customWidth="1"/>
    <col min="15" max="15" width="3.85546875" bestFit="1" customWidth="1"/>
    <col min="16" max="16" width="4.85546875" bestFit="1" customWidth="1"/>
    <col min="17" max="17" width="12" bestFit="1" customWidth="1"/>
    <col min="18" max="18" width="3.140625" customWidth="1"/>
    <col min="19" max="19" width="2" customWidth="1"/>
    <col min="20" max="20" width="1.7109375" customWidth="1"/>
    <col min="21" max="21" width="8.140625" customWidth="1"/>
    <col min="22" max="22" width="20.140625" bestFit="1" customWidth="1"/>
    <col min="23" max="23" width="3.7109375" bestFit="1" customWidth="1"/>
    <col min="24" max="24" width="4.42578125" bestFit="1" customWidth="1"/>
    <col min="25" max="25" width="3.85546875" bestFit="1" customWidth="1"/>
    <col min="26" max="26" width="4.85546875" bestFit="1" customWidth="1"/>
    <col min="27" max="27" width="12" bestFit="1" customWidth="1"/>
    <col min="28" max="28" width="2.7109375" customWidth="1"/>
    <col min="29" max="29" width="15.42578125" customWidth="1"/>
    <col min="30" max="30" width="20.140625" bestFit="1" customWidth="1"/>
    <col min="31" max="31" width="17.5703125" bestFit="1" customWidth="1"/>
    <col min="32" max="32" width="18.140625" bestFit="1" customWidth="1"/>
    <col min="33" max="33" width="5.7109375" bestFit="1" customWidth="1"/>
    <col min="34" max="34" width="9.140625" customWidth="1"/>
  </cols>
  <sheetData>
    <row r="1" spans="2:35" x14ac:dyDescent="0.25">
      <c r="AC1" t="str">
        <f>AD7</f>
        <v>POULE 1</v>
      </c>
      <c r="AD1" s="1">
        <f>HLOOKUP(AC1,$AD$5:$AF$6,2,0)</f>
        <v>3</v>
      </c>
      <c r="AE1" t="str">
        <f>AF1&amp;AG1&amp;AH1&amp;AI1</f>
        <v>9333</v>
      </c>
      <c r="AF1">
        <f>B3</f>
        <v>9</v>
      </c>
      <c r="AG1">
        <f>AD6</f>
        <v>3</v>
      </c>
      <c r="AH1">
        <f>AE6</f>
        <v>3</v>
      </c>
      <c r="AI1">
        <f>AF6</f>
        <v>3</v>
      </c>
    </row>
    <row r="2" spans="2:35" x14ac:dyDescent="0.25">
      <c r="AC2" t="str">
        <f>AE7</f>
        <v>POULE 2</v>
      </c>
      <c r="AD2" s="1">
        <f t="shared" ref="AD2:AD3" si="0">HLOOKUP(AC2,$AD$5:$AF$6,2,0)</f>
        <v>3</v>
      </c>
    </row>
    <row r="3" spans="2:35" x14ac:dyDescent="0.25">
      <c r="B3" s="29">
        <f>'Calc Inscription Joueurs'!A1</f>
        <v>9</v>
      </c>
      <c r="D3">
        <v>100</v>
      </c>
      <c r="F3">
        <v>1</v>
      </c>
      <c r="G3">
        <v>1E-3</v>
      </c>
      <c r="AC3" t="str">
        <f>AF7</f>
        <v>POULE 3</v>
      </c>
      <c r="AD3" s="1">
        <f t="shared" si="0"/>
        <v>3</v>
      </c>
    </row>
    <row r="4" spans="2:35" ht="15.75" thickBot="1" x14ac:dyDescent="0.3">
      <c r="C4" t="str">
        <f>'Calc Inscription Joueurs'!C5</f>
        <v/>
      </c>
      <c r="L4" t="str">
        <f>C4</f>
        <v/>
      </c>
      <c r="V4" t="str">
        <f>IF(V5="","",$C$4)</f>
        <v/>
      </c>
    </row>
    <row r="5" spans="2:35" x14ac:dyDescent="0.25">
      <c r="B5" s="28" t="str">
        <f>'Calc Inscription Joueurs'!A16</f>
        <v>Aucune</v>
      </c>
      <c r="C5" s="4" t="s">
        <v>122</v>
      </c>
      <c r="D5" s="5" t="s">
        <v>113</v>
      </c>
      <c r="E5" s="5" t="s">
        <v>114</v>
      </c>
      <c r="F5" s="5" t="s">
        <v>115</v>
      </c>
      <c r="G5" s="6" t="s">
        <v>116</v>
      </c>
      <c r="K5" s="28" t="str">
        <f>'Calc Inscription Joueurs'!A16</f>
        <v>Aucune</v>
      </c>
      <c r="L5" s="4" t="str">
        <f>IF(B3=3,"","Match 1")</f>
        <v>Match 1</v>
      </c>
      <c r="M5" s="5" t="s">
        <v>113</v>
      </c>
      <c r="N5" s="5" t="s">
        <v>114</v>
      </c>
      <c r="O5" s="5" t="s">
        <v>115</v>
      </c>
      <c r="P5" s="6" t="s">
        <v>116</v>
      </c>
      <c r="U5" s="28" t="str">
        <f>'Calc Inscription Joueurs'!A16</f>
        <v>Aucune</v>
      </c>
      <c r="V5" s="4" t="str">
        <f>IF($B$3&lt;7,"","Match 1")</f>
        <v>Match 1</v>
      </c>
      <c r="W5" s="5" t="str">
        <f>IF(V5="","","Pts")</f>
        <v>Pts</v>
      </c>
      <c r="X5" s="5" t="str">
        <f>IF(V5="","","Rep")</f>
        <v>Rep</v>
      </c>
      <c r="Y5" s="5" t="str">
        <f>IF(V5="","","Sér")</f>
        <v>Sér</v>
      </c>
      <c r="Z5" s="6" t="str">
        <f>IF(V5="","","Moy")</f>
        <v>Moy</v>
      </c>
      <c r="AD5" t="str">
        <f>AD7</f>
        <v>POULE 1</v>
      </c>
      <c r="AE5" t="str">
        <f>AE7</f>
        <v>POULE 2</v>
      </c>
      <c r="AF5" t="str">
        <f>AF7</f>
        <v>POULE 3</v>
      </c>
      <c r="AI5">
        <v>5</v>
      </c>
    </row>
    <row r="6" spans="2:35" x14ac:dyDescent="0.25">
      <c r="B6" t="str">
        <f>IF(B5=$AH$9,$AF$7,IF(B5=$AH$8,$AE$7,IF(B5=$AH$7,$AD$7,IF(B5=$AH$6,$AD$7,""))))</f>
        <v>POULE 1</v>
      </c>
      <c r="C6" s="7" t="e">
        <f>IF(B3=AG14,AD9,IF(B3=AG15,AD8,IF(B7=0,"",IF(AND(B7=2,B6=$AD$7),$AD$8,IF(AND(B7=2,B6=$AE$7),$AE$8,IF(AND(B7=2,B6=$AF$7),$AF$8,IF(AND(B7=3,B6=$AD$7),$AD$9,IF(AND(B7=3,B6=$AE$7),$AE$9,IF(AND(B7=3,B6=$AF$7),$AF$9,"")))))))))</f>
        <v>#N/A</v>
      </c>
      <c r="D6">
        <f>'FEUILLE DE RESULTATS'!D7</f>
        <v>0</v>
      </c>
      <c r="E6">
        <f>'FEUILLE DE RESULTATS'!E7</f>
        <v>0</v>
      </c>
      <c r="F6">
        <f>'FEUILLE DE RESULTATS'!F7</f>
        <v>0</v>
      </c>
      <c r="G6" s="8" t="e">
        <f>IF(OR(D6="",E6=""),"",D6/E6)</f>
        <v>#DIV/0!</v>
      </c>
      <c r="H6" s="28" t="e">
        <f>(D6*$D$3)+(F6*$F$3)+(G6*$G$3)</f>
        <v>#DIV/0!</v>
      </c>
      <c r="I6" s="28">
        <f>IF(D6&gt;D7,3,IF(D6=D7,2,1))</f>
        <v>2</v>
      </c>
      <c r="K6" t="str">
        <f>IF(K5=$AH$9,$AD$7,IF(K5=$AH$8,$AF$7,IF(K5=$AH$7,$AE$7,IF(K5=$AH$6,$AE$7,""))))</f>
        <v>POULE 2</v>
      </c>
      <c r="L6" s="7" t="e">
        <f>IF(K7=0,"",IF(AND(K7=2,K6=$AD$7),$AD$8,IF(AND(K7=2,K6=$AE$7),$AE$8,IF(AND(K7=2,K6=$AF$7),$AF$8,IF(AND(K7=3,K6=$AD$7),$AD$9,IF(AND(K7=3,K6=$AE$7),$AE$9,IF(AND(K7=3,K6=$AF$7),$AF$9,"")))))))</f>
        <v>#N/A</v>
      </c>
      <c r="M6">
        <f>'FEUILLE DE RESULTATS'!D20</f>
        <v>0</v>
      </c>
      <c r="N6">
        <f>'FEUILLE DE RESULTATS'!E20</f>
        <v>0</v>
      </c>
      <c r="O6">
        <f>'FEUILLE DE RESULTATS'!F20</f>
        <v>0</v>
      </c>
      <c r="P6" s="8" t="e">
        <f>IF(OR(M6="",N6=""),"",M6/N6)</f>
        <v>#DIV/0!</v>
      </c>
      <c r="Q6" s="28" t="e">
        <f>(M6*$D$3)+(O6*$F$3)+(P6*$G$3)</f>
        <v>#DIV/0!</v>
      </c>
      <c r="R6" s="28">
        <f>IF(M6&gt;M7,3,IF(M6=M7,2,1))</f>
        <v>2</v>
      </c>
      <c r="U6" t="str">
        <f>IF(U5=$AH$9,$AE$7,IF(U5=$AH$8,$AD$7,IF(U5=$AH$7,$AF$7,IF(U5=$AH$6,$AF$7,""))))</f>
        <v>POULE 3</v>
      </c>
      <c r="V6" s="7" t="e">
        <f>IF(U7=0,"",IF(AND(U7=2,U6=$AD$7),$AD$8,IF(AND(U7=2,U6=$AE$7),$AE$8,IF(AND(U7=2,U6=$AF$7),$AF$8,IF(AND(U7=3,U6=$AD$7),$AD$9,IF(AND(U7=3,U6=$AE$7),$AE$9,IF(AND(U7=3,U6=$AF$7),$AF$9,"")))))))</f>
        <v>#N/A</v>
      </c>
      <c r="W6">
        <f>'FEUILLE DE RESULTATS'!D33</f>
        <v>0</v>
      </c>
      <c r="X6">
        <f>'FEUILLE DE RESULTATS'!E33</f>
        <v>0</v>
      </c>
      <c r="Y6">
        <f>'FEUILLE DE RESULTATS'!F33</f>
        <v>0</v>
      </c>
      <c r="Z6" s="8" t="str">
        <f>IF(V5="","",IF(OR(W6=0,X6=0),"",W6/X6))</f>
        <v/>
      </c>
      <c r="AA6" s="28" t="e">
        <f>(W6*$D$3)+(Y6*$F$3)+(Z6*$G$3)</f>
        <v>#VALUE!</v>
      </c>
      <c r="AB6" s="28">
        <f>IF(W6&gt;W7,3,IF(W6=W7,2,1))</f>
        <v>2</v>
      </c>
      <c r="AD6" s="1">
        <f>'Calc Inscription Joueurs'!A7</f>
        <v>3</v>
      </c>
      <c r="AE6" s="1">
        <f>'Calc Inscription Joueurs'!A10</f>
        <v>3</v>
      </c>
      <c r="AF6" s="1">
        <f>'Calc Inscription Joueurs'!A13</f>
        <v>3</v>
      </c>
      <c r="AG6" t="s">
        <v>131</v>
      </c>
      <c r="AH6" t="str">
        <f>Listing!F2</f>
        <v>Aucune</v>
      </c>
      <c r="AI6">
        <v>6</v>
      </c>
    </row>
    <row r="7" spans="2:35" ht="15.75" thickBot="1" x14ac:dyDescent="0.3">
      <c r="B7" s="44">
        <f>VLOOKUP($B$6,$AC$1:$AD$3,2,0)</f>
        <v>3</v>
      </c>
      <c r="C7" s="9" t="e">
        <f>IF(B3=3,AD10,IF(B3=2,AD9,IF(B7=0,"",IF(AND(B7=2,B6=$AD$7),$AD$9,IF(AND(B7=2,B6=$AE$7),$AE$9,IF(AND(B7=2,B6=$AF$7),$AF$9,IF(AND(B7=3,B6=$AD$7),$AD$10,IF(AND(B7=3,B6=$AE$7),$AE$10,IF(AND(B7=3,B6=$AF$7),$AF$10,"")))))))))</f>
        <v>#N/A</v>
      </c>
      <c r="D7" s="10">
        <f>'FEUILLE DE RESULTATS'!D8</f>
        <v>0</v>
      </c>
      <c r="E7" s="10">
        <f>IF(C5="","",E6)</f>
        <v>0</v>
      </c>
      <c r="F7" s="10">
        <f>'FEUILLE DE RESULTATS'!F8</f>
        <v>0</v>
      </c>
      <c r="G7" s="11" t="e">
        <f>IF(OR(D7="",E7=""),"",D7/E7)</f>
        <v>#DIV/0!</v>
      </c>
      <c r="H7" s="28" t="e">
        <f>(D7*$D$3)+(F7*$F$3)+(G7*$G$3)</f>
        <v>#DIV/0!</v>
      </c>
      <c r="I7" s="28">
        <f>IF(D7&gt;D6,3,IF(D7=D6,2,1))</f>
        <v>2</v>
      </c>
      <c r="K7" s="44">
        <f>VLOOKUP($K$6,$AC$1:$AD$3,2,0)</f>
        <v>3</v>
      </c>
      <c r="L7" s="9" t="e">
        <f>IF(K7=0,"",IF(AND(K7=2,K6=$AD$7),$AD$9,IF(AND(K7=2,K6=$AE$7),$AE$9,IF(AND(K7=2,K6=$AF$7),$AF$9,IF(AND(K7=3,K6=$AD$7),$AD$10,IF(AND(K7=3,K6=$AE$7),$AE$10,IF(AND(K7=3,K6=$AF$7),$AF$10,"")))))))</f>
        <v>#N/A</v>
      </c>
      <c r="M7">
        <f>'FEUILLE DE RESULTATS'!D21</f>
        <v>0</v>
      </c>
      <c r="N7" s="10">
        <f>IF(L5="","",N6)</f>
        <v>0</v>
      </c>
      <c r="O7">
        <f>'FEUILLE DE RESULTATS'!F21</f>
        <v>0</v>
      </c>
      <c r="P7" s="11" t="e">
        <f>IF(OR(M7="",N7=""),"",M7/N7)</f>
        <v>#DIV/0!</v>
      </c>
      <c r="Q7" s="28" t="e">
        <f>(M7*$D$3)+(O7*$F$3)+(P7*$G$3)</f>
        <v>#DIV/0!</v>
      </c>
      <c r="R7" s="28">
        <f>IF(M7&gt;M6,3,IF(M7=M6,2,1))</f>
        <v>2</v>
      </c>
      <c r="U7" s="44">
        <f>VLOOKUP($U$6,$AC$1:$AD$3,2,0)</f>
        <v>3</v>
      </c>
      <c r="V7" s="9" t="e">
        <f>IF(U7=0,"",IF(AND(U7=2,U6=$AD$7),$AD$9,IF(AND(U7=2,U6=$AE$7),$AE$9,IF(AND(U7=2,U6=$AF$7),$AF$9,IF(AND(U7=3,U6=$AD$7),$AD$10,IF(AND(U7=3,U6=$AE$7),$AE$10,IF(AND(U7=3,U6=$AF$7),$AF$10,"")))))))</f>
        <v>#N/A</v>
      </c>
      <c r="W7">
        <f>'FEUILLE DE RESULTATS'!D34</f>
        <v>0</v>
      </c>
      <c r="X7" s="10">
        <f>IF(V5="","",X6)</f>
        <v>0</v>
      </c>
      <c r="Y7">
        <f>'FEUILLE DE RESULTATS'!F34</f>
        <v>0</v>
      </c>
      <c r="Z7" s="11" t="str">
        <f>IF(V5="","",IF(OR(W7=0,X7=0),"",W7/X7))</f>
        <v/>
      </c>
      <c r="AA7" s="28" t="e">
        <f>(W7*$D$3)+(Y7*$F$3)+(Z7*$G$3)</f>
        <v>#VALUE!</v>
      </c>
      <c r="AB7" s="28">
        <f>IF(W7&gt;W6,3,IF(W7=W6,2,1))</f>
        <v>2</v>
      </c>
      <c r="AD7" s="31" t="str">
        <f>'Calc Inscription Joueurs'!I3</f>
        <v>POULE 1</v>
      </c>
      <c r="AE7" s="31" t="str">
        <f>'Calc Inscription Joueurs'!J3</f>
        <v>POULE 2</v>
      </c>
      <c r="AF7" s="31" t="str">
        <f>'Calc Inscription Joueurs'!V3</f>
        <v>POULE 3</v>
      </c>
      <c r="AG7" t="s">
        <v>131</v>
      </c>
      <c r="AH7" t="str">
        <f>Listing!F3</f>
        <v>1 et 2</v>
      </c>
      <c r="AI7">
        <v>7</v>
      </c>
    </row>
    <row r="8" spans="2:35" x14ac:dyDescent="0.25">
      <c r="H8" s="28"/>
      <c r="I8" s="28"/>
      <c r="Q8" s="28"/>
      <c r="R8" s="28"/>
      <c r="AA8" s="28"/>
      <c r="AB8" s="28"/>
      <c r="AD8" s="1" t="e">
        <f>'Calc Inscription Joueurs'!I4</f>
        <v>#N/A</v>
      </c>
      <c r="AE8" s="1" t="e">
        <f>'Calc Inscription Joueurs'!J4</f>
        <v>#N/A</v>
      </c>
      <c r="AF8" s="1" t="e">
        <f>'Calc Inscription Joueurs'!V4</f>
        <v>#N/A</v>
      </c>
      <c r="AG8" t="s">
        <v>131</v>
      </c>
      <c r="AH8" t="str">
        <f>Listing!F4</f>
        <v>2 et 3</v>
      </c>
      <c r="AI8">
        <v>8</v>
      </c>
    </row>
    <row r="9" spans="2:35" x14ac:dyDescent="0.25">
      <c r="C9" t="e">
        <f>IF(I7&gt;I6,C7,C6)</f>
        <v>#N/A</v>
      </c>
      <c r="H9" s="28"/>
      <c r="I9" s="28"/>
      <c r="L9" t="e">
        <f>IF(R7&gt;R6,L7,L6)</f>
        <v>#N/A</v>
      </c>
      <c r="Q9" s="28"/>
      <c r="R9" s="28"/>
      <c r="V9" t="e">
        <f>IF(AB7&gt;AB6,V7,V6)</f>
        <v>#N/A</v>
      </c>
      <c r="AA9" s="28"/>
      <c r="AB9" s="28"/>
      <c r="AD9" s="1" t="e">
        <f>'Calc Inscription Joueurs'!I5</f>
        <v>#N/A</v>
      </c>
      <c r="AE9" s="1" t="e">
        <f>'Calc Inscription Joueurs'!J5</f>
        <v>#N/A</v>
      </c>
      <c r="AF9" s="1" t="e">
        <f>'Calc Inscription Joueurs'!V5</f>
        <v>#N/A</v>
      </c>
      <c r="AG9" t="s">
        <v>131</v>
      </c>
      <c r="AH9" t="str">
        <f>Listing!F5</f>
        <v>3 et 1</v>
      </c>
      <c r="AI9">
        <v>9</v>
      </c>
    </row>
    <row r="10" spans="2:35" x14ac:dyDescent="0.25">
      <c r="C10" t="e">
        <f>IF(I7&gt;I6,C6,C7)</f>
        <v>#N/A</v>
      </c>
      <c r="H10" s="28"/>
      <c r="I10" s="28"/>
      <c r="L10" t="e">
        <f>IF(R7&gt;R6,L6,L7)</f>
        <v>#N/A</v>
      </c>
      <c r="Q10" s="28"/>
      <c r="R10" s="28"/>
      <c r="V10" t="e">
        <f>IF(AB7&gt;AB6,V6,V7)</f>
        <v>#N/A</v>
      </c>
      <c r="AA10" s="28"/>
      <c r="AB10" s="28"/>
      <c r="AD10" s="1" t="e">
        <f>'Calc Inscription Joueurs'!I6</f>
        <v>#N/A</v>
      </c>
      <c r="AE10" s="1" t="e">
        <f>'Calc Inscription Joueurs'!J6</f>
        <v>#N/A</v>
      </c>
      <c r="AF10" s="1" t="e">
        <f>'Calc Inscription Joueurs'!V6</f>
        <v>#N/A</v>
      </c>
      <c r="AG10" t="s">
        <v>132</v>
      </c>
      <c r="AH10" t="s">
        <v>121</v>
      </c>
      <c r="AI10">
        <v>10</v>
      </c>
    </row>
    <row r="11" spans="2:35" x14ac:dyDescent="0.25">
      <c r="H11" s="28"/>
      <c r="I11" s="28"/>
      <c r="Q11" s="28"/>
      <c r="R11" s="28"/>
      <c r="AA11" s="28"/>
      <c r="AB11" s="28"/>
      <c r="AG11" t="s">
        <v>132</v>
      </c>
      <c r="AH11" t="s">
        <v>119</v>
      </c>
      <c r="AI11">
        <v>11</v>
      </c>
    </row>
    <row r="12" spans="2:35" x14ac:dyDescent="0.25">
      <c r="H12" s="28"/>
      <c r="I12" s="28"/>
      <c r="Q12" s="28"/>
      <c r="R12" s="28"/>
      <c r="AA12" s="28"/>
      <c r="AB12" s="28"/>
      <c r="AD12" t="e">
        <f>IF(AD6=3,AD8,"")</f>
        <v>#N/A</v>
      </c>
      <c r="AE12" t="e">
        <f>IF(AE6=3,AE8,"")</f>
        <v>#N/A</v>
      </c>
      <c r="AF12" t="e">
        <f>IF(AF6=3,AF8,"")</f>
        <v>#N/A</v>
      </c>
      <c r="AG12" t="s">
        <v>132</v>
      </c>
      <c r="AH12" t="s">
        <v>120</v>
      </c>
      <c r="AI12">
        <v>12</v>
      </c>
    </row>
    <row r="13" spans="2:35" ht="15.75" thickBot="1" x14ac:dyDescent="0.3">
      <c r="C13" t="str">
        <f>IF(C14="","",$C$4)</f>
        <v/>
      </c>
      <c r="H13" s="28"/>
      <c r="I13" s="28"/>
      <c r="L13" t="str">
        <f>IF(L14="","",$C$4)</f>
        <v/>
      </c>
      <c r="Q13" s="28"/>
      <c r="R13" s="28"/>
      <c r="V13" t="str">
        <f>IF(V14="","",$C$4)</f>
        <v/>
      </c>
      <c r="AA13" s="28"/>
      <c r="AB13" s="28"/>
      <c r="AD13" t="e">
        <f>IF(AD7=B6,C9,IF(AD7=K6,L9,V9))</f>
        <v>#N/A</v>
      </c>
      <c r="AE13" t="e">
        <f>IF(AE7=B6,C9,IF(AE7=K6,L9,V9))</f>
        <v>#N/A</v>
      </c>
      <c r="AF13" t="e">
        <f>IF(AF7=B6,C9,IF(AF7=K6,L9,V9))</f>
        <v>#N/A</v>
      </c>
      <c r="AG13" t="s">
        <v>132</v>
      </c>
      <c r="AH13" t="s">
        <v>133</v>
      </c>
      <c r="AI13">
        <v>13</v>
      </c>
    </row>
    <row r="14" spans="2:35" x14ac:dyDescent="0.25">
      <c r="B14" s="28" t="str">
        <f>B5</f>
        <v>Aucune</v>
      </c>
      <c r="C14" s="4" t="s">
        <v>130</v>
      </c>
      <c r="D14" s="5" t="s">
        <v>113</v>
      </c>
      <c r="E14" s="5" t="s">
        <v>114</v>
      </c>
      <c r="F14" s="5" t="s">
        <v>115</v>
      </c>
      <c r="G14" s="6" t="s">
        <v>116</v>
      </c>
      <c r="H14" s="28"/>
      <c r="I14" s="28"/>
      <c r="K14" s="28" t="str">
        <f>K5</f>
        <v>Aucune</v>
      </c>
      <c r="L14" s="4" t="str">
        <f>IF(B3=3,"","Match 2")</f>
        <v>Match 2</v>
      </c>
      <c r="M14" s="5" t="s">
        <v>113</v>
      </c>
      <c r="N14" s="5" t="s">
        <v>114</v>
      </c>
      <c r="O14" s="5" t="s">
        <v>115</v>
      </c>
      <c r="P14" s="6" t="s">
        <v>116</v>
      </c>
      <c r="Q14" s="28"/>
      <c r="R14" s="28"/>
      <c r="U14" s="28" t="str">
        <f>U5</f>
        <v>Aucune</v>
      </c>
      <c r="V14" s="4" t="str">
        <f>IF($B$3&lt;7,"","Match 2")</f>
        <v>Match 2</v>
      </c>
      <c r="W14" s="5" t="str">
        <f>IF(V14="","","Pts")</f>
        <v>Pts</v>
      </c>
      <c r="X14" s="5" t="str">
        <f>IF(V14="","","Rep")</f>
        <v>Rep</v>
      </c>
      <c r="Y14" s="5" t="str">
        <f>IF(V14="","","Sér")</f>
        <v>Sér</v>
      </c>
      <c r="Z14" s="6" t="str">
        <f>IF(V14="","","Moy")</f>
        <v>Moy</v>
      </c>
      <c r="AA14" s="28"/>
      <c r="AB14" s="28"/>
      <c r="AD14" t="e">
        <f>IF(AD7=B6,C10,IF(AD7=K6,L10,V10))</f>
        <v>#N/A</v>
      </c>
      <c r="AE14" t="e">
        <f>IF(AE7=B6,C10,IF(AE7=K6,L10,V10))</f>
        <v>#N/A</v>
      </c>
      <c r="AF14" t="e">
        <f>IF(AF7=B6,C10,IF(AF7=K6,L10,V10))</f>
        <v>#N/A</v>
      </c>
      <c r="AG14" s="1">
        <v>3</v>
      </c>
      <c r="AH14" t="s">
        <v>121</v>
      </c>
      <c r="AI14">
        <v>14</v>
      </c>
    </row>
    <row r="15" spans="2:35" x14ac:dyDescent="0.25">
      <c r="B15" t="str">
        <f>B6</f>
        <v>POULE 1</v>
      </c>
      <c r="C15" s="7" t="e">
        <f>IF(OR(B3=6,B3=9),AD17,IF(B3=3,AD8,IF(B3=2,AD8,IF(B$15=$AD$21,$AD$22,IF(B$15=$AE$21,$AE$22,$AF$22)))))</f>
        <v>#N/A</v>
      </c>
      <c r="D15">
        <f>'FEUILLE DE RESULTATS'!D11</f>
        <v>0</v>
      </c>
      <c r="E15">
        <f>'FEUILLE DE RESULTATS'!E11</f>
        <v>0</v>
      </c>
      <c r="F15">
        <f>'FEUILLE DE RESULTATS'!F11</f>
        <v>0</v>
      </c>
      <c r="G15" s="8" t="str">
        <f>IF(C14="","",IF(OR(D15=0,E15=0),"",D15/E15))</f>
        <v/>
      </c>
      <c r="H15" s="28" t="e">
        <f>(D15*$D$3)+(F15*$F$3)+(G15*$G$3)</f>
        <v>#VALUE!</v>
      </c>
      <c r="I15" s="28">
        <f>IF(D15&gt;D16,3,IF(D15=D16,2,1))</f>
        <v>2</v>
      </c>
      <c r="K15" t="str">
        <f t="shared" ref="K15:K16" si="1">K6</f>
        <v>POULE 2</v>
      </c>
      <c r="L15" s="7" t="e">
        <f>IF(OR(B3=6,B3=9),AE17,IF(K$15=$AD$21,$AD$22,IF(K$15=$AE$21,$AE$22,$AF$22)))</f>
        <v>#N/A</v>
      </c>
      <c r="M15">
        <f>'FEUILLE DE RESULTATS'!D24</f>
        <v>0</v>
      </c>
      <c r="N15">
        <f>'FEUILLE DE RESULTATS'!E24</f>
        <v>0</v>
      </c>
      <c r="O15">
        <f>'FEUILLE DE RESULTATS'!F24</f>
        <v>0</v>
      </c>
      <c r="P15" s="8" t="str">
        <f>IF(L14="","",IF(OR(M15=0,N15=0),"",M15/N15))</f>
        <v/>
      </c>
      <c r="Q15" s="28" t="e">
        <f>(M15*$D$3)+(O15*$F$3)+(P15*$G$3)</f>
        <v>#VALUE!</v>
      </c>
      <c r="R15" s="28">
        <f>IF(M15&gt;M16,3,IF(M15=M16,2,1))</f>
        <v>2</v>
      </c>
      <c r="U15" t="str">
        <f t="shared" ref="U15:U16" si="2">U6</f>
        <v>POULE 3</v>
      </c>
      <c r="V15" s="7" t="e">
        <f>IF(B3=9,AF17,IF(U$15=$AD$21,$AD$22,IF(U$15=$AE$21,$AE$22,$AF$22)))</f>
        <v>#N/A</v>
      </c>
      <c r="W15">
        <f>'FEUILLE DE RESULTATS'!D37</f>
        <v>0</v>
      </c>
      <c r="X15">
        <f>'FEUILLE DE RESULTATS'!E37</f>
        <v>0</v>
      </c>
      <c r="Y15">
        <f>'FEUILLE DE RESULTATS'!F37</f>
        <v>0</v>
      </c>
      <c r="Z15" s="8" t="str">
        <f>IF(V14="","",IF(OR(W15=0,X15=0),"",W15/X15))</f>
        <v/>
      </c>
      <c r="AA15" s="28" t="e">
        <f>(W15*$D$3)+(Y15*$F$3)+(Z15*$G$3)</f>
        <v>#VALUE!</v>
      </c>
      <c r="AB15" s="28">
        <f>IF(W15&gt;W16,3,IF(W15=W16,2,1))</f>
        <v>2</v>
      </c>
      <c r="AG15" s="1">
        <v>2</v>
      </c>
      <c r="AH15" t="s">
        <v>121</v>
      </c>
      <c r="AI15">
        <v>15</v>
      </c>
    </row>
    <row r="16" spans="2:35" ht="15.75" thickBot="1" x14ac:dyDescent="0.3">
      <c r="B16" s="30">
        <f>B7</f>
        <v>3</v>
      </c>
      <c r="C16" s="9" t="e">
        <f>IF(OR(B3=6,B3=9),AD19,IF(B3=3,C10,IF(B3=2,C7,IF(B$15=$AD$21,$AD$23,IF(B$15=$AE$21,$AE$23,$AF$23)))))</f>
        <v>#N/A</v>
      </c>
      <c r="D16" s="10">
        <f>'FEUILLE DE RESULTATS'!D12</f>
        <v>0</v>
      </c>
      <c r="E16" s="10">
        <f>IF(C14="","",E15)</f>
        <v>0</v>
      </c>
      <c r="F16" s="10">
        <f>'FEUILLE DE RESULTATS'!F12</f>
        <v>0</v>
      </c>
      <c r="G16" s="11" t="str">
        <f>IF(C14="","",IF(OR(D16=0,E16=0),"",D16/E16))</f>
        <v/>
      </c>
      <c r="H16" s="28" t="e">
        <f>(D16*$D$3)+(F16*$F$3)+(G16*$G$3)</f>
        <v>#VALUE!</v>
      </c>
      <c r="I16" s="28">
        <f>IF(D16&gt;D15,3,IF(D16=D15,2,1))</f>
        <v>2</v>
      </c>
      <c r="K16" s="30">
        <f t="shared" si="1"/>
        <v>3</v>
      </c>
      <c r="L16" s="9" t="e">
        <f>IF(OR(B3=6,B3=9),AE19,IF(K$15=$AD$21,$AD$23,IF(K$15=$AE$21,$AE$23,$AF$23)))</f>
        <v>#N/A</v>
      </c>
      <c r="M16">
        <f>'FEUILLE DE RESULTATS'!D25</f>
        <v>0</v>
      </c>
      <c r="N16" s="10">
        <f>IF(L14="","",N15)</f>
        <v>0</v>
      </c>
      <c r="O16">
        <f>'FEUILLE DE RESULTATS'!F25</f>
        <v>0</v>
      </c>
      <c r="P16" s="11" t="str">
        <f>IF(L14="","",IF(OR(M16=0,N16=0),"",M16/N16))</f>
        <v/>
      </c>
      <c r="Q16" s="28" t="e">
        <f>(M16*$D$3)+(O16*$F$3)+(P16*$G$3)</f>
        <v>#VALUE!</v>
      </c>
      <c r="R16" s="28">
        <f>IF(M16&gt;M15,3,IF(M16=M15,2,1))</f>
        <v>2</v>
      </c>
      <c r="U16" s="30">
        <f t="shared" si="2"/>
        <v>3</v>
      </c>
      <c r="V16" s="9" t="e">
        <f>IF(B3=9,AF19,IF(V14="","",IF(U$15=$AD$21,$AD$23,IF(U$15=$AE$21,$AE$23,$AF$23))))</f>
        <v>#N/A</v>
      </c>
      <c r="W16">
        <f>'FEUILLE DE RESULTATS'!D38</f>
        <v>0</v>
      </c>
      <c r="X16" s="10">
        <f>IF(V14="","",X15)</f>
        <v>0</v>
      </c>
      <c r="Y16">
        <f>'FEUILLE DE RESULTATS'!F38</f>
        <v>0</v>
      </c>
      <c r="Z16" s="11" t="str">
        <f>IF(V14="","",IF(OR(W16=0,X16=0),"",W16/X16))</f>
        <v/>
      </c>
      <c r="AA16" s="28" t="e">
        <f>(W16*$D$3)+(Y16*$F$3)+(Z16*$G$3)</f>
        <v>#VALUE!</v>
      </c>
      <c r="AB16" s="28">
        <f>IF(W16&gt;W15,3,IF(W16=W15,2,1))</f>
        <v>2</v>
      </c>
      <c r="AH16">
        <f>AD25+AE25+AF25</f>
        <v>9</v>
      </c>
    </row>
    <row r="17" spans="2:35" x14ac:dyDescent="0.25">
      <c r="H17" s="28"/>
      <c r="I17" s="28"/>
      <c r="Q17" s="28"/>
      <c r="R17" s="28"/>
      <c r="AA17" s="28"/>
      <c r="AB17" s="28"/>
      <c r="AD17" t="e">
        <f>IF(AD12="",AD13,AD12)</f>
        <v>#N/A</v>
      </c>
      <c r="AE17" t="e">
        <f>IF(AE12="",AE13,AE12)</f>
        <v>#N/A</v>
      </c>
      <c r="AF17" t="e">
        <f>IF(AF12="",AF13,AF12)</f>
        <v>#N/A</v>
      </c>
    </row>
    <row r="18" spans="2:35" x14ac:dyDescent="0.25">
      <c r="C18" t="e">
        <f>IF(I16&gt;I15,C16,C15)</f>
        <v>#N/A</v>
      </c>
      <c r="H18" s="28"/>
      <c r="I18" s="28"/>
      <c r="L18" t="e">
        <f>IF(R16&gt;R15,L16,L15)</f>
        <v>#N/A</v>
      </c>
      <c r="Q18" s="28"/>
      <c r="R18" s="28"/>
      <c r="V18" t="e">
        <f>IF(AB16&gt;AB15,V16,V15)</f>
        <v>#N/A</v>
      </c>
      <c r="AA18" s="28"/>
      <c r="AB18" s="28"/>
      <c r="AD18" t="e">
        <f>IF(AD12="",AD14,AD13)</f>
        <v>#N/A</v>
      </c>
      <c r="AE18" t="e">
        <f t="shared" ref="AE18:AF18" si="3">IF(AE12="",AE14,AE13)</f>
        <v>#N/A</v>
      </c>
      <c r="AF18" t="e">
        <f t="shared" si="3"/>
        <v>#N/A</v>
      </c>
    </row>
    <row r="19" spans="2:35" x14ac:dyDescent="0.25">
      <c r="C19" t="e">
        <f>IF(I16&gt;I15,C15,C16)</f>
        <v>#N/A</v>
      </c>
      <c r="H19" s="28"/>
      <c r="I19" s="28"/>
      <c r="L19" t="e">
        <f>IF(R16&gt;R15,L15,L16)</f>
        <v>#N/A</v>
      </c>
      <c r="Q19" s="28"/>
      <c r="R19" s="28"/>
      <c r="V19" t="e">
        <f>IF(AB16&gt;AB15,V15,V16)</f>
        <v>#N/A</v>
      </c>
      <c r="AA19" s="28"/>
      <c r="AB19" s="28"/>
      <c r="AD19" t="e">
        <f>IF(AD12="",AD12,AD14)</f>
        <v>#N/A</v>
      </c>
      <c r="AE19" t="e">
        <f t="shared" ref="AE19:AF19" si="4">IF(AE12="",AE12,AE14)</f>
        <v>#N/A</v>
      </c>
      <c r="AF19" t="e">
        <f t="shared" si="4"/>
        <v>#N/A</v>
      </c>
      <c r="AH19" t="s">
        <v>131</v>
      </c>
    </row>
    <row r="20" spans="2:35" x14ac:dyDescent="0.25">
      <c r="H20" s="28"/>
      <c r="I20" s="28"/>
      <c r="Q20" s="28"/>
      <c r="R20" s="28"/>
      <c r="AA20" s="28"/>
      <c r="AB20" s="28"/>
      <c r="AH20" t="s">
        <v>132</v>
      </c>
    </row>
    <row r="21" spans="2:35" x14ac:dyDescent="0.25">
      <c r="H21" s="28"/>
      <c r="I21" s="28"/>
      <c r="Q21" s="28"/>
      <c r="R21" s="28"/>
      <c r="AA21" s="28"/>
      <c r="AB21" s="28"/>
      <c r="AD21" s="31" t="str">
        <f>AD7</f>
        <v>POULE 1</v>
      </c>
      <c r="AE21" s="31" t="str">
        <f>AE7</f>
        <v>POULE 2</v>
      </c>
      <c r="AF21" s="31" t="str">
        <f>AF7</f>
        <v>POULE 3</v>
      </c>
      <c r="AG21" t="str">
        <f>AG25</f>
        <v>3 et 3</v>
      </c>
      <c r="AH21" t="str">
        <f>AH25</f>
        <v>Aucune</v>
      </c>
    </row>
    <row r="22" spans="2:35" ht="15.75" thickBot="1" x14ac:dyDescent="0.3">
      <c r="C22" t="str">
        <f>IF(C23="","",$C$4)</f>
        <v/>
      </c>
      <c r="H22" s="28"/>
      <c r="I22" s="28"/>
      <c r="L22" t="str">
        <f>IF(L23="","",$C$4)</f>
        <v/>
      </c>
      <c r="Q22" s="28"/>
      <c r="R22" s="28"/>
      <c r="V22" t="str">
        <f>IF(V23="","",$C$4)</f>
        <v/>
      </c>
      <c r="AA22" s="28"/>
      <c r="AB22" s="28"/>
      <c r="AD22" t="e">
        <f>IF(AND($AG$21=$AG$6,$AH$21=$AH$6),"",IF(AND($AG$21=$AG$7,$AH$21=$AH$7),AD8,IF(AND($AG$21=$AG$8,$AH$21=$AH$8),AD8,IF(AND($AG$21=$AG$9,$AH$21=$AH$9),AD17,IF(AND($AG$21=$AG$10,$AH$21=$AH$10),"",IF(AND($AG$21=$AG$11,$AH$21=$AH$11),AD17,IF(AND($AG$21=$AG$12,$AH$21=$AH$12),AD8,IF(AND($AG$21=$AG$13,$AH$21=$AH$13),AD17,IF(AH16=AG14,AD17,IF(AH16=AG15,AD17,IF(AH16=9,AD8,"")))))))))))</f>
        <v>#N/A</v>
      </c>
      <c r="AE22" t="e">
        <f>IF(AND($AG$21=$AG$6,$AH$21=$AH$6),"",IF(AND($AG$21=$AG$7,$AH$21=$AH$7),AE17,IF(AND($AG$21=$AG$8,$AH$21=$AH$8),AE8,IF(AND($AG$21=$AG$9,$AH$21=$AH$9),AE8,IF(AND($AG$21=$AG$10,$AH$21=$AH$10),"",IF(AND($AG$21=$AG$11,$AH$21=$AH$11),AE17,IF(AND($AG$21=$AG$12,$AH$21=$AH$12),AE17,IF(AND($AG$21=$AG$13,$AH$21=$AH$13),AE8,IF(AH16=9,AE8,"")))))))))</f>
        <v>#N/A</v>
      </c>
      <c r="AF22" t="e">
        <f>IF(AND($AG$21=$AG$6,$AH$21=$AH$6),"",IF(AND($AG$21=$AG$7,$AH$21=$AH$7),AF17,IF(AND($AG$21=$AG$8,$AH$21=$AH$8),AF17,IF(AND($AG$21=$AG$9,$AH$21=$AH$9),AF8,IF(AND($AG$21=$AG$10,$AH$21=$AH$10),"",IF(AND($AG$21=$AG$11,$AH$21=$AH$11),AF17,IF(AND($AG$21=$AG$12,$AH$21=$AH$12),AF17,IF(AND($AG$21=$AG$13,$AH$21=$AH$13),AF17,IF(AH16=9,AF8,"")))))))))</f>
        <v>#N/A</v>
      </c>
    </row>
    <row r="23" spans="2:35" x14ac:dyDescent="0.25">
      <c r="B23" s="28" t="str">
        <f>B14</f>
        <v>Aucune</v>
      </c>
      <c r="C23" s="4" t="str">
        <f>IF(B25=3,"Match 3","")</f>
        <v>Match 3</v>
      </c>
      <c r="D23" s="5" t="str">
        <f>IF(C23="","","Pts")</f>
        <v>Pts</v>
      </c>
      <c r="E23" s="5" t="str">
        <f>IF(C23="","","Rep")</f>
        <v>Rep</v>
      </c>
      <c r="F23" s="5" t="str">
        <f>IF(C23="","","Sér")</f>
        <v>Sér</v>
      </c>
      <c r="G23" s="6" t="str">
        <f>IF(C23="","","Moy")</f>
        <v>Moy</v>
      </c>
      <c r="H23" s="28"/>
      <c r="I23" s="28"/>
      <c r="K23" s="28" t="str">
        <f>K14</f>
        <v>Aucune</v>
      </c>
      <c r="L23" s="4" t="str">
        <f>IF(K25=3,"Match 3","")</f>
        <v>Match 3</v>
      </c>
      <c r="M23" s="5" t="str">
        <f>IF(L23="","","Pts")</f>
        <v>Pts</v>
      </c>
      <c r="N23" s="5" t="str">
        <f>IF(L23="","","Rep")</f>
        <v>Rep</v>
      </c>
      <c r="O23" s="5" t="str">
        <f>IF(L23="","","Sér")</f>
        <v>Sér</v>
      </c>
      <c r="P23" s="6" t="str">
        <f>IF(L23="","","Moy")</f>
        <v>Moy</v>
      </c>
      <c r="Q23" s="28"/>
      <c r="R23" s="28"/>
      <c r="U23" s="28" t="str">
        <f>U14</f>
        <v>Aucune</v>
      </c>
      <c r="V23" s="4" t="str">
        <f>IF(U25=3,"Match 3","")</f>
        <v>Match 3</v>
      </c>
      <c r="W23" s="5" t="str">
        <f>IF(V23="","","Pts")</f>
        <v>Pts</v>
      </c>
      <c r="X23" s="5" t="str">
        <f>IF(V23="","","Rep")</f>
        <v>Rep</v>
      </c>
      <c r="Y23" s="5" t="str">
        <f>IF(V23="","","Sér")</f>
        <v>Sér</v>
      </c>
      <c r="Z23" s="6" t="str">
        <f>IF(V23="","","Moy")</f>
        <v>Moy</v>
      </c>
      <c r="AA23" s="28"/>
      <c r="AB23" s="28"/>
      <c r="AD23" t="e">
        <f>IF(AND($AG$21=$AG$6,$AH$21=$AH$6),"",IF(AND($AG$21=$AG$7,$AH$21=$AH$7),AD19,IF(AND($AG$21=$AG$8,$AH$21=$AH$8),AD19,IF(AND($AG$21=$AG$9,$AH$21=$AH$9),AF18,IF(AND($AG$21=$AG$10,$AH$21=$AH$10),"",IF(AND($AG$21=$AG$11,$AH$21=$AH$11),AE18,IF(AND($AG$21=$AG$12,$AH$21=$AH$12),AD19,IF(AND($AG$21=$AG$13,$AH$21=$AH$13),AF18,IF(AH16=AG14,AD14,IF(AH16=AG15,AD9,IF(AH16=9,AD10,"")))))))))))</f>
        <v>#N/A</v>
      </c>
      <c r="AE23" t="e">
        <f>IF(AND($AG$21=$AG$6,$AH$21=$AH$6),"",IF(AND($AG$21=$AG$7,$AH$21=$AH$7),AD18,IF(AND($AG$21=$AG$8,$AH$21=$AH$8),AE19,IF(AND($AG$21=$AG$9,$AH$21=$AH$9),AE19,IF(AND($AG$21=$AG$10,$AH$21=$AH$10),"",IF(AND($AG$21=$AG$11,$AH$21=$AH$11),AD18,IF(AND($AG$21=$AG$12,$AH$21=$AH$12),AF18,IF(AND($AG$21=$AG$13,$AH$21=$AH$13),AE19,IF(AH16=9,AE19,"")))))))))</f>
        <v>#N/A</v>
      </c>
      <c r="AF23" t="e">
        <f>IF(AND($AG$21=$AG$6,$AH$21=$AH$6),"",IF(AND($AG$21=$AG$7,$AH$21=$AH$7),AF19,IF(AND($AG$21=$AG$8,$AH$21=$AH$8),AE18,IF(AND($AG$21=$AG$9,$AH$21=$AH$9),AF19,IF(AND($AG$21=$AG$10,$AH$21=$AH$10),"",IF(AND($AG$21=$AG$11,$AH$21=$AH$11),AF19,IF(AND($AG$21=$AG$12,$AH$21=$AH$12),AE18,IF(AND($AG$21=$AG$13,$AH$21=$AH$13),AD18,IF(AH16=9,AF19,"")))))))))</f>
        <v>#N/A</v>
      </c>
    </row>
    <row r="24" spans="2:35" x14ac:dyDescent="0.25">
      <c r="B24" t="str">
        <f>B15</f>
        <v>POULE 1</v>
      </c>
      <c r="C24" s="12" t="e">
        <f>IF(OR(B3=3,B3=6,B3=9),AD8,IF(C23="","",HLOOKUP(B24,$AD$26:$AF$28,2,0)))</f>
        <v>#N/A</v>
      </c>
      <c r="D24">
        <f>'FEUILLE DE RESULTATS'!D15</f>
        <v>0</v>
      </c>
      <c r="E24">
        <f>'FEUILLE DE RESULTATS'!E15</f>
        <v>0</v>
      </c>
      <c r="F24">
        <f>'FEUILLE DE RESULTATS'!F15</f>
        <v>0</v>
      </c>
      <c r="G24" s="8" t="str">
        <f>IF(C23="","",IF(OR(D24=0,E24=0),"",D24/E24))</f>
        <v/>
      </c>
      <c r="H24" s="28" t="e">
        <f>(D24*$D$3)+(F24*$F$3)+(G24*$G$3)</f>
        <v>#VALUE!</v>
      </c>
      <c r="I24" s="28">
        <f>IF(D24&gt;D25,3,IF(D24=D25,2,1))</f>
        <v>2</v>
      </c>
      <c r="K24" t="str">
        <f t="shared" ref="K24:K25" si="5">K15</f>
        <v>POULE 2</v>
      </c>
      <c r="L24" s="12" t="e">
        <f>IF(OR(B3=6,B3=9),AE8,IF(L23="","",HLOOKUP(K24,$AD$26:$AF$28,2,0)))</f>
        <v>#N/A</v>
      </c>
      <c r="M24">
        <f>'FEUILLE DE RESULTATS'!D28</f>
        <v>0</v>
      </c>
      <c r="N24">
        <f>'FEUILLE DE RESULTATS'!E28</f>
        <v>0</v>
      </c>
      <c r="O24">
        <f>'FEUILLE DE RESULTATS'!F28</f>
        <v>0</v>
      </c>
      <c r="P24" s="8" t="str">
        <f>IF(L23="","",IF(OR(M24=0,N24=0),"",M24/N24))</f>
        <v/>
      </c>
      <c r="Q24" s="28" t="e">
        <f>(M24*$D$3)+(O24*$F$3)+(P24*$G$3)</f>
        <v>#VALUE!</v>
      </c>
      <c r="R24" s="28">
        <f>IF(M24&gt;M25,3,IF(M24=M25,2,1))</f>
        <v>2</v>
      </c>
      <c r="U24" t="str">
        <f t="shared" ref="U24:U25" si="6">U15</f>
        <v>POULE 3</v>
      </c>
      <c r="V24" s="7" t="e">
        <f>IF(B3=9,AF8,IF(V23="","",HLOOKUP(U24,$AD$26:$AF$28,2,0)))</f>
        <v>#N/A</v>
      </c>
      <c r="W24">
        <f>'FEUILLE DE RESULTATS'!D41</f>
        <v>0</v>
      </c>
      <c r="X24">
        <f>'FEUILLE DE RESULTATS'!E41</f>
        <v>0</v>
      </c>
      <c r="Y24">
        <f>'FEUILLE DE RESULTATS'!F41</f>
        <v>0</v>
      </c>
      <c r="Z24" s="8" t="str">
        <f>IF(V23="","",IF(OR(W24=0,X24=0),"",W24/X24))</f>
        <v/>
      </c>
      <c r="AA24" s="28" t="e">
        <f>(W24*$D$3)+(Y24*$F$3)+(Z24*$G$3)</f>
        <v>#VALUE!</v>
      </c>
      <c r="AB24" s="28">
        <f>IF(W24&gt;W25,3,IF(W24=W25,2,1))</f>
        <v>2</v>
      </c>
    </row>
    <row r="25" spans="2:35" ht="15.75" thickBot="1" x14ac:dyDescent="0.3">
      <c r="B25" s="30">
        <f>B16</f>
        <v>3</v>
      </c>
      <c r="C25" s="13" t="e">
        <f>IF(OR(B3=3,B3=6,B3=9),C9,IF(C23="","",HLOOKUP(B24,$AD$26:$AF$28,3,0)))</f>
        <v>#N/A</v>
      </c>
      <c r="D25">
        <f>'FEUILLE DE RESULTATS'!D16</f>
        <v>0</v>
      </c>
      <c r="E25" s="10">
        <f>IF(C23="","",E24)</f>
        <v>0</v>
      </c>
      <c r="F25">
        <f>'FEUILLE DE RESULTATS'!F16</f>
        <v>0</v>
      </c>
      <c r="G25" s="11" t="str">
        <f>IF(C23="","",IF(OR(D25=0,E25=0),"",D25/E25))</f>
        <v/>
      </c>
      <c r="H25" s="28" t="e">
        <f>(D25*$D$3)+(F25*$F$3)+(G25*$G$3)</f>
        <v>#VALUE!</v>
      </c>
      <c r="I25" s="28">
        <f>IF(D25&gt;D24,3,IF(D25=D24,2,1))</f>
        <v>2</v>
      </c>
      <c r="K25" s="30">
        <f t="shared" si="5"/>
        <v>3</v>
      </c>
      <c r="L25" s="13" t="e">
        <f>IF(OR(B3=6,B3=9),L9,IF(L23="","",HLOOKUP(K24,$AD$26:$AF$28,3,0)))</f>
        <v>#N/A</v>
      </c>
      <c r="M25">
        <f>'FEUILLE DE RESULTATS'!D29</f>
        <v>0</v>
      </c>
      <c r="N25" s="10">
        <f>IF(L23="","",N24)</f>
        <v>0</v>
      </c>
      <c r="O25">
        <f>'FEUILLE DE RESULTATS'!F29</f>
        <v>0</v>
      </c>
      <c r="P25" s="11" t="str">
        <f>IF(L23="","",IF(OR(M25=0,N25=0),"",M25/N25))</f>
        <v/>
      </c>
      <c r="Q25" s="28" t="e">
        <f>(M25*$D$3)+(O25*$F$3)+(P25*$G$3)</f>
        <v>#VALUE!</v>
      </c>
      <c r="R25" s="28">
        <f>IF(M25&gt;M24,3,IF(M25=M24,2,1))</f>
        <v>2</v>
      </c>
      <c r="U25" s="30">
        <f t="shared" si="6"/>
        <v>3</v>
      </c>
      <c r="V25" s="9" t="e">
        <f>IF(B3=9,V9,IF(V23="","",HLOOKUP(U24,$AD$26:$AF$28,3,0)))</f>
        <v>#N/A</v>
      </c>
      <c r="W25" s="10">
        <f>'FEUILLE DE RESULTATS'!D42</f>
        <v>0</v>
      </c>
      <c r="X25" s="10">
        <f>IF(V23="","",X24)</f>
        <v>0</v>
      </c>
      <c r="Y25" s="10">
        <f>'FEUILLE DE RESULTATS'!F42</f>
        <v>0</v>
      </c>
      <c r="Z25" s="11" t="str">
        <f>IF(V23="","",IF(OR(W25=0,X25=0),"",W25/X25))</f>
        <v/>
      </c>
      <c r="AA25" s="28" t="e">
        <f>(W25*$D$3)+(Y25*$F$3)+(Z25*$G$3)</f>
        <v>#VALUE!</v>
      </c>
      <c r="AB25" s="28">
        <f>IF(W25&gt;W24,3,IF(W25=W24,2,1))</f>
        <v>2</v>
      </c>
      <c r="AD25" s="1">
        <f>AD6</f>
        <v>3</v>
      </c>
      <c r="AE25" s="1">
        <f t="shared" ref="AD25:AF26" si="7">AE6</f>
        <v>3</v>
      </c>
      <c r="AF25" s="1">
        <f t="shared" si="7"/>
        <v>3</v>
      </c>
      <c r="AG25" t="str">
        <f>AG28&amp; " et " &amp;AG29</f>
        <v>3 et 3</v>
      </c>
      <c r="AH25" t="str">
        <f>B5</f>
        <v>Aucune</v>
      </c>
    </row>
    <row r="26" spans="2:35" x14ac:dyDescent="0.25">
      <c r="AD26" s="31" t="str">
        <f t="shared" si="7"/>
        <v>POULE 1</v>
      </c>
      <c r="AE26" s="31" t="str">
        <f t="shared" si="7"/>
        <v>POULE 2</v>
      </c>
      <c r="AF26" s="31" t="str">
        <f t="shared" si="7"/>
        <v>POULE 3</v>
      </c>
      <c r="AG26">
        <f>IF(AH25=AH7,AD25,IF(AH25=AH8,AE25,AF25))</f>
        <v>3</v>
      </c>
    </row>
    <row r="27" spans="2:35" ht="15.75" thickBot="1" x14ac:dyDescent="0.3">
      <c r="AD27" t="e">
        <f>IF(AD25&lt;&gt;3,"",AD8)</f>
        <v>#N/A</v>
      </c>
      <c r="AE27" t="e">
        <f>IF(AE25&lt;&gt;3,"",AE8)</f>
        <v>#N/A</v>
      </c>
      <c r="AF27" t="e">
        <f>IF(AF25&lt;&gt;3,"",AF8)</f>
        <v>#N/A</v>
      </c>
      <c r="AG27">
        <f>IF(AH25=AH7,AE25,IF(AH25=AH8,AF25,AD25))</f>
        <v>3</v>
      </c>
    </row>
    <row r="28" spans="2:35" x14ac:dyDescent="0.25">
      <c r="B28">
        <f>IF($B$5&lt;&gt;$AH$6,'Calc Class'!AE23,'Calc Class'!AE34)</f>
        <v>1</v>
      </c>
      <c r="C28" t="str">
        <f>IF($B$5&lt;&gt;$AH$6,'Calc Class'!AF23,'Calc Class'!AF34)</f>
        <v/>
      </c>
      <c r="D28" t="str">
        <f>IF($B$5&lt;&gt;$AH$6,'Calc Class'!AG23,'Calc Class'!AG34)</f>
        <v/>
      </c>
      <c r="E28" t="str">
        <f>IF($B$5&lt;&gt;$AH$6,'Calc Class'!AH23,'Calc Class'!AH34)</f>
        <v/>
      </c>
      <c r="F28" t="str">
        <f>IF($B$5&lt;&gt;$AH$6,'Calc Class'!AI23,'Calc Class'!AI34)</f>
        <v/>
      </c>
      <c r="G28" t="str">
        <f>IF($B$5&lt;&gt;$AH$6,'Calc Class'!AJ23,'Calc Class'!AJ34)</f>
        <v/>
      </c>
      <c r="H28" t="str">
        <f>IF($B$5&lt;&gt;$AH$6,'Calc Class'!AK23,'Calc Class'!AK34)</f>
        <v/>
      </c>
      <c r="K28">
        <f>IF($B$5&lt;&gt;$AH$6,"",'Calc Class'!AE38)</f>
        <v>1</v>
      </c>
      <c r="L28" t="str">
        <f>IF($B$5&lt;&gt;$AH$6,"",'Calc Class'!AF38)</f>
        <v/>
      </c>
      <c r="M28" t="str">
        <f>IF($B$5&lt;&gt;$AH$6,"",'Calc Class'!AG38)</f>
        <v/>
      </c>
      <c r="N28" t="str">
        <f>IF($B$5&lt;&gt;$AH$6,"",'Calc Class'!AH38)</f>
        <v/>
      </c>
      <c r="O28" t="str">
        <f>IF($B$5&lt;&gt;$AH$6,"",'Calc Class'!AI38)</f>
        <v/>
      </c>
      <c r="P28" t="str">
        <f>IF($B$5&lt;&gt;$AH$6,"",'Calc Class'!AJ38)</f>
        <v/>
      </c>
      <c r="Q28" t="str">
        <f>IF($B$5&lt;&gt;$AH$6,"",'Calc Class'!AK38)</f>
        <v/>
      </c>
      <c r="U28">
        <f>IF($B$5&lt;&gt;$AH$6,'Calc Class'!AE30,'Calc Class'!AE42)</f>
        <v>1</v>
      </c>
      <c r="V28" t="str">
        <f>IF($B$5&lt;&gt;$AH$6,'Calc Class'!AF30,'Calc Class'!AF42)</f>
        <v/>
      </c>
      <c r="W28" t="str">
        <f>IF($B$5&lt;&gt;$AH$6,'Calc Class'!AG30,'Calc Class'!AG42)</f>
        <v/>
      </c>
      <c r="X28" t="str">
        <f>IF($B$5&lt;&gt;$AH$6,'Calc Class'!AH30,'Calc Class'!AH42)</f>
        <v/>
      </c>
      <c r="Y28" t="str">
        <f>IF($B$5&lt;&gt;$AH$6,'Calc Class'!AI30,'Calc Class'!AI42)</f>
        <v/>
      </c>
      <c r="Z28" t="str">
        <f>IF($B$5&lt;&gt;$AH$6,'Calc Class'!AJ30,'Calc Class'!AJ42)</f>
        <v/>
      </c>
      <c r="AA28" t="str">
        <f>IF($B$5&lt;&gt;$AH$6,'Calc Class'!AK30,'Calc Class'!AK42)</f>
        <v/>
      </c>
      <c r="AD28" t="e">
        <f>IF(AND($AG$21=$AG$7,$AH$21=$AH$7),AE18,IF(AND($AG$21=$AG$8,$AH$21=$AH$8),AD18,IF(AND($AG$21=$AG$9,$AH$21=$AH$9),"",IF(AND($AG$21=$AG$11,$AH$21=$AH$11),"",IF(AND($AG$21=$AG$12,$AH$21=$AH$12),AD18,IF(AND($AG$21=$AG$13,$AH$21=$AH$13),"",IF(AH16=9,AD18,"")))))))</f>
        <v>#N/A</v>
      </c>
      <c r="AE28" t="e">
        <f>IF(AND($AG$21=$AG$7,$AH$21=$AH$7),AE24,IF(AND($AG$21=$AG$8,$AH$21=$AH$8),AF18,IF(AND($AG$21=$AG$9,$AH$21=$AH$9),AE18,IF(AND($AG$21=$AG$11,$AH$21=$AH$11),AD18,IF(AND($AG$21=$AG$12,$AH$21=$AH$12),AF18,IF(AND($AG$21=$AG$13,$AH$21=$AH$13),AE13,IF(AH16=9,AE18,"")))))))</f>
        <v>#N/A</v>
      </c>
      <c r="AF28" t="e">
        <f>IF(AND($AG$21=$AG$7,$AH$21=$AH$7),AF13,IF(AND($AG$21=$AG$8,$AH$21=$AH$8),"",IF(AND($AG$21=$AG$9,$AH$21=$AH$9),AD18,IF(AND($AG$21=$AG$11,$AH$21=$AH$11),AF13,IF(AND($AG$21=$AG$12,$AH$21=$AH$12),"",IF(AND($AG$21=$AG$13,$AH$21=$AH$13),"",IF(AH16=9,AF18,"")))))))</f>
        <v>#N/A</v>
      </c>
      <c r="AG28" s="67">
        <f>MAX(AG26:AG27)</f>
        <v>3</v>
      </c>
    </row>
    <row r="29" spans="2:35" ht="15.75" thickBot="1" x14ac:dyDescent="0.3">
      <c r="B29">
        <f>IF($B$5&lt;&gt;$AH$6,'Calc Class'!AE24,'Calc Class'!AE35)</f>
        <v>2</v>
      </c>
      <c r="C29" t="str">
        <f>IF($B$5&lt;&gt;$AH$6,'Calc Class'!AF24,'Calc Class'!AF35)</f>
        <v/>
      </c>
      <c r="D29" t="str">
        <f>IF($B$5&lt;&gt;$AH$6,'Calc Class'!AG24,'Calc Class'!AG35)</f>
        <v/>
      </c>
      <c r="E29" t="str">
        <f>IF($B$5&lt;&gt;$AH$6,'Calc Class'!AH24,'Calc Class'!AH35)</f>
        <v/>
      </c>
      <c r="F29" t="str">
        <f>IF($B$5&lt;&gt;$AH$6,'Calc Class'!AI24,'Calc Class'!AI35)</f>
        <v/>
      </c>
      <c r="G29" t="str">
        <f>IF($B$5&lt;&gt;$AH$6,'Calc Class'!AJ24,'Calc Class'!AJ35)</f>
        <v/>
      </c>
      <c r="H29" t="str">
        <f>IF($B$5&lt;&gt;$AH$6,'Calc Class'!AK24,'Calc Class'!AK35)</f>
        <v/>
      </c>
      <c r="K29">
        <f>IF($B$5&lt;&gt;$AH$6,"",'Calc Class'!AE39)</f>
        <v>2</v>
      </c>
      <c r="L29" t="str">
        <f>IF($B$5&lt;&gt;$AH$6,"",'Calc Class'!AF39)</f>
        <v/>
      </c>
      <c r="M29" t="str">
        <f>IF($B$5&lt;&gt;$AH$6,"",'Calc Class'!AG39)</f>
        <v/>
      </c>
      <c r="N29" t="str">
        <f>IF($B$5&lt;&gt;$AH$6,"",'Calc Class'!AH39)</f>
        <v/>
      </c>
      <c r="O29" t="str">
        <f>IF($B$5&lt;&gt;$AH$6,"",'Calc Class'!AI39)</f>
        <v/>
      </c>
      <c r="P29" t="str">
        <f>IF($B$5&lt;&gt;$AH$6,"",'Calc Class'!AJ39)</f>
        <v/>
      </c>
      <c r="Q29" t="str">
        <f>IF($B$5&lt;&gt;$AH$6,"",'Calc Class'!AK39)</f>
        <v/>
      </c>
      <c r="U29">
        <f>IF($B$5&lt;&gt;$AH$6,'Calc Class'!AE31,'Calc Class'!AE43)</f>
        <v>2</v>
      </c>
      <c r="V29" t="str">
        <f>IF($B$5&lt;&gt;$AH$6,'Calc Class'!AF31,'Calc Class'!AF43)</f>
        <v/>
      </c>
      <c r="W29" t="str">
        <f>IF($B$5&lt;&gt;$AH$6,'Calc Class'!AG31,'Calc Class'!AG43)</f>
        <v/>
      </c>
      <c r="X29" t="str">
        <f>IF($B$5&lt;&gt;$AH$6,'Calc Class'!AH31,'Calc Class'!AH43)</f>
        <v/>
      </c>
      <c r="Y29" t="str">
        <f>IF($B$5&lt;&gt;$AH$6,'Calc Class'!AI31,'Calc Class'!AI43)</f>
        <v/>
      </c>
      <c r="Z29" t="str">
        <f>IF($B$5&lt;&gt;$AH$6,'Calc Class'!AJ31,'Calc Class'!AJ43)</f>
        <v/>
      </c>
      <c r="AA29" t="str">
        <f>IF($B$5&lt;&gt;$AH$6,'Calc Class'!AK31,'Calc Class'!AK43)</f>
        <v/>
      </c>
      <c r="AG29" s="68">
        <f>MIN(AG26:AG27)</f>
        <v>3</v>
      </c>
    </row>
    <row r="30" spans="2:35" ht="15.75" thickBot="1" x14ac:dyDescent="0.3">
      <c r="B30">
        <f>IF($B$5&lt;&gt;$AH$6,'Calc Class'!AE25,'Calc Class'!AE36)</f>
        <v>3</v>
      </c>
      <c r="C30" t="str">
        <f>IF($B$5&lt;&gt;$AH$6,'Calc Class'!AF25,'Calc Class'!AF36)</f>
        <v/>
      </c>
      <c r="D30" t="str">
        <f>IF($B$5&lt;&gt;$AH$6,'Calc Class'!AG25,'Calc Class'!AG36)</f>
        <v/>
      </c>
      <c r="E30" t="str">
        <f>IF($B$5&lt;&gt;$AH$6,'Calc Class'!AH25,'Calc Class'!AH36)</f>
        <v/>
      </c>
      <c r="F30" t="str">
        <f>IF($B$5&lt;&gt;$AH$6,'Calc Class'!AI25,'Calc Class'!AI36)</f>
        <v/>
      </c>
      <c r="G30" t="str">
        <f>IF($B$5&lt;&gt;$AH$6,'Calc Class'!AJ25,'Calc Class'!AJ36)</f>
        <v/>
      </c>
      <c r="H30" t="str">
        <f>IF($B$5&lt;&gt;$AH$6,'Calc Class'!AK25,'Calc Class'!AK36)</f>
        <v/>
      </c>
      <c r="K30">
        <f>IF($B$5&lt;&gt;$AH$6,"",'Calc Class'!AE40)</f>
        <v>3</v>
      </c>
      <c r="L30" t="str">
        <f>IF($B$5&lt;&gt;$AH$6,"",'Calc Class'!AF40)</f>
        <v/>
      </c>
      <c r="M30" t="str">
        <f>IF($B$5&lt;&gt;$AH$6,"",'Calc Class'!AG40)</f>
        <v/>
      </c>
      <c r="N30" t="str">
        <f>IF($B$5&lt;&gt;$AH$6,"",'Calc Class'!AH40)</f>
        <v/>
      </c>
      <c r="O30" t="str">
        <f>IF($B$5&lt;&gt;$AH$6,"",'Calc Class'!AI40)</f>
        <v/>
      </c>
      <c r="P30" t="str">
        <f>IF($B$5&lt;&gt;$AH$6,"",'Calc Class'!AJ40)</f>
        <v/>
      </c>
      <c r="Q30" t="str">
        <f>IF($B$5&lt;&gt;$AH$6,"",'Calc Class'!AK40)</f>
        <v/>
      </c>
      <c r="U30">
        <f>IF($B$5&lt;&gt;$AH$6,'Calc Class'!AE32,'Calc Class'!AE44)</f>
        <v>3</v>
      </c>
      <c r="V30" t="str">
        <f>IF($B$5&lt;&gt;$AH$6,'Calc Class'!AF32,'Calc Class'!AF44)</f>
        <v/>
      </c>
      <c r="W30" t="str">
        <f>IF($B$5&lt;&gt;$AH$6,'Calc Class'!AG32,'Calc Class'!AG44)</f>
        <v/>
      </c>
      <c r="X30" t="str">
        <f>IF($B$5&lt;&gt;$AH$6,'Calc Class'!AH32,'Calc Class'!AH44)</f>
        <v/>
      </c>
      <c r="Y30" t="str">
        <f>IF($B$5&lt;&gt;$AH$6,'Calc Class'!AI32,'Calc Class'!AI44)</f>
        <v/>
      </c>
      <c r="Z30" t="str">
        <f>IF($B$5&lt;&gt;$AH$6,'Calc Class'!AJ32,'Calc Class'!AJ44)</f>
        <v/>
      </c>
      <c r="AA30" t="str">
        <f>IF($B$5&lt;&gt;$AH$6,'Calc Class'!AK32,'Calc Class'!AK44)</f>
        <v/>
      </c>
      <c r="AD30" t="s">
        <v>275</v>
      </c>
      <c r="AE30" t="s">
        <v>139</v>
      </c>
      <c r="AF30" t="s">
        <v>140</v>
      </c>
      <c r="AG30" t="s">
        <v>141</v>
      </c>
      <c r="AH30" t="s">
        <v>142</v>
      </c>
      <c r="AI30" t="s">
        <v>276</v>
      </c>
    </row>
    <row r="31" spans="2:35" x14ac:dyDescent="0.25">
      <c r="B31" t="str">
        <f>IF($B$5&lt;&gt;$AH$6,'Calc Class'!AE26,IF($AH$16=9,"",'Calc Class'!AE38))</f>
        <v/>
      </c>
      <c r="C31" t="str">
        <f>IF($B$5&lt;&gt;$AH$6,'Calc Class'!AF26,IF($AH$16=9,"",'Calc Class'!AF38))</f>
        <v/>
      </c>
      <c r="D31" t="str">
        <f>IF($B$5&lt;&gt;$AH$6,'Calc Class'!AG26,IF($AH$16=9,"",'Calc Class'!AG38))</f>
        <v/>
      </c>
      <c r="E31" t="str">
        <f>IF($B$5&lt;&gt;$AH$6,'Calc Class'!AH26,IF($AH$16=9,"",'Calc Class'!AH38))</f>
        <v/>
      </c>
      <c r="F31" t="str">
        <f>IF($B$5&lt;&gt;$AH$6,'Calc Class'!AI26,IF($AH$16=9,"",'Calc Class'!AI38))</f>
        <v/>
      </c>
      <c r="G31" t="str">
        <f>IF($B$5&lt;&gt;$AH$6,'Calc Class'!AJ26,IF($AH$16=9,"",'Calc Class'!AJ38))</f>
        <v/>
      </c>
      <c r="H31" t="str">
        <f>IF($B$5&lt;&gt;$AH$6,'Calc Class'!AK26,IF($AH$16=9,"",'Calc Class'!AK38))</f>
        <v/>
      </c>
      <c r="AB31" s="48" t="str">
        <f>'Calc Class'!AE49</f>
        <v/>
      </c>
      <c r="AC31" s="49" t="str">
        <f>'Calc Class'!AF49</f>
        <v/>
      </c>
      <c r="AD31" s="49" t="str">
        <f>'Calc Class'!AK49</f>
        <v/>
      </c>
      <c r="AE31" s="49" t="str">
        <f>'Calc Class'!AG49</f>
        <v/>
      </c>
      <c r="AF31" s="49" t="str">
        <f>'Calc Class'!AH49</f>
        <v/>
      </c>
      <c r="AG31" s="49" t="str">
        <f>'Calc Class'!AI49</f>
        <v/>
      </c>
      <c r="AH31" s="50" t="str">
        <f>'Calc Class'!AJ49</f>
        <v/>
      </c>
      <c r="AI31" s="51" t="e">
        <f>VLOOKUP(AC31,ListePoule,2,0)</f>
        <v>#N/A</v>
      </c>
    </row>
    <row r="32" spans="2:35" x14ac:dyDescent="0.25">
      <c r="B32" t="str">
        <f>IF($B$5&lt;&gt;$AH$6,'Calc Class'!AE27,IF($AH$16=9,"",'Calc Class'!AE39))</f>
        <v/>
      </c>
      <c r="C32" t="str">
        <f>IF($B$5&lt;&gt;$AH$6,'Calc Class'!AF27,IF($AH$16=9,"",'Calc Class'!AF39))</f>
        <v/>
      </c>
      <c r="D32" t="str">
        <f>IF($B$5&lt;&gt;$AH$6,'Calc Class'!AG27,IF($AH$16=9,"",'Calc Class'!AG39))</f>
        <v/>
      </c>
      <c r="E32" t="str">
        <f>IF($B$5&lt;&gt;$AH$6,'Calc Class'!AH27,IF($AH$16=9,"",'Calc Class'!AH39))</f>
        <v/>
      </c>
      <c r="F32" t="str">
        <f>IF($B$5&lt;&gt;$AH$6,'Calc Class'!AI27,IF($AH$16=9,"",'Calc Class'!AI39))</f>
        <v/>
      </c>
      <c r="G32" t="str">
        <f>IF($B$5&lt;&gt;$AH$6,'Calc Class'!AJ27,IF($AH$16=9,"",'Calc Class'!AJ39))</f>
        <v/>
      </c>
      <c r="H32" t="str">
        <f>IF($B$5&lt;&gt;$AH$6,'Calc Class'!AK27,IF($AH$16=9,"",'Calc Class'!AK39))</f>
        <v/>
      </c>
      <c r="AB32" s="52" t="str">
        <f>'Calc Class'!AE50</f>
        <v/>
      </c>
      <c r="AC32" s="53" t="str">
        <f>'Calc Class'!AF50</f>
        <v/>
      </c>
      <c r="AD32" s="53" t="str">
        <f>'Calc Class'!AK50</f>
        <v/>
      </c>
      <c r="AE32" s="53" t="str">
        <f>'Calc Class'!AG50</f>
        <v/>
      </c>
      <c r="AF32" s="53" t="str">
        <f>'Calc Class'!AH50</f>
        <v/>
      </c>
      <c r="AG32" s="53" t="str">
        <f>'Calc Class'!AI50</f>
        <v/>
      </c>
      <c r="AH32" s="54" t="str">
        <f>'Calc Class'!AJ50</f>
        <v/>
      </c>
      <c r="AI32" s="55" t="e">
        <f t="shared" ref="AI32:AI37" si="8">VLOOKUP(AC32,ListePoule,2,0)</f>
        <v>#N/A</v>
      </c>
    </row>
    <row r="33" spans="2:35" x14ac:dyDescent="0.25">
      <c r="B33" t="str">
        <f>IF($B$5&lt;&gt;$AH$6,'Calc Class'!AE28,IF($AH$16=9,"",'Calc Class'!AE40))</f>
        <v/>
      </c>
      <c r="C33" t="str">
        <f>IF($B$5&lt;&gt;$AH$6,'Calc Class'!AF28,IF($AH$16=9,"",'Calc Class'!AF40))</f>
        <v/>
      </c>
      <c r="D33" t="str">
        <f>IF($B$5&lt;&gt;$AH$6,'Calc Class'!AG28,IF($AH$16=9,"",'Calc Class'!AG40))</f>
        <v/>
      </c>
      <c r="E33" t="str">
        <f>IF($B$5&lt;&gt;$AH$6,'Calc Class'!AH28,IF($AH$16=9,"",'Calc Class'!AH40))</f>
        <v/>
      </c>
      <c r="F33" t="str">
        <f>IF($B$5&lt;&gt;$AH$6,'Calc Class'!AI28,IF($AH$16=9,"",'Calc Class'!AI40))</f>
        <v/>
      </c>
      <c r="G33" t="str">
        <f>IF($B$5&lt;&gt;$AH$6,'Calc Class'!AJ28,IF($AH$16=9,"",'Calc Class'!AJ40))</f>
        <v/>
      </c>
      <c r="H33" t="str">
        <f>IF($B$5&lt;&gt;$AH$6,'Calc Class'!AK28,IF($AH$16=9,"",'Calc Class'!AK40))</f>
        <v/>
      </c>
      <c r="AB33" s="52" t="str">
        <f>'Calc Class'!AE51</f>
        <v/>
      </c>
      <c r="AC33" s="53" t="str">
        <f>'Calc Class'!AF51</f>
        <v/>
      </c>
      <c r="AD33" s="53" t="str">
        <f>'Calc Class'!AK51</f>
        <v/>
      </c>
      <c r="AE33" s="53" t="str">
        <f>'Calc Class'!AG51</f>
        <v/>
      </c>
      <c r="AF33" s="53" t="str">
        <f>'Calc Class'!AH51</f>
        <v/>
      </c>
      <c r="AG33" s="53" t="str">
        <f>'Calc Class'!AI51</f>
        <v/>
      </c>
      <c r="AH33" s="54" t="str">
        <f>'Calc Class'!AJ51</f>
        <v/>
      </c>
      <c r="AI33" s="55" t="e">
        <f t="shared" si="8"/>
        <v>#N/A</v>
      </c>
    </row>
    <row r="34" spans="2:35" x14ac:dyDescent="0.25">
      <c r="AB34" s="52" t="str">
        <f>'Calc Class'!AE52</f>
        <v/>
      </c>
      <c r="AC34" s="53" t="str">
        <f>'Calc Class'!AF52</f>
        <v/>
      </c>
      <c r="AD34" s="53" t="str">
        <f>'Calc Class'!AK52</f>
        <v/>
      </c>
      <c r="AE34" s="53" t="str">
        <f>'Calc Class'!AG52</f>
        <v/>
      </c>
      <c r="AF34" s="53" t="str">
        <f>'Calc Class'!AH52</f>
        <v/>
      </c>
      <c r="AG34" s="53" t="str">
        <f>'Calc Class'!AI52</f>
        <v/>
      </c>
      <c r="AH34" s="54" t="str">
        <f>'Calc Class'!AJ52</f>
        <v/>
      </c>
      <c r="AI34" s="55" t="e">
        <f t="shared" si="8"/>
        <v>#N/A</v>
      </c>
    </row>
    <row r="35" spans="2:35" x14ac:dyDescent="0.25">
      <c r="AB35" s="52" t="str">
        <f>'Calc Class'!AE53</f>
        <v/>
      </c>
      <c r="AC35" s="53" t="str">
        <f>'Calc Class'!AF53</f>
        <v/>
      </c>
      <c r="AD35" s="53" t="str">
        <f>'Calc Class'!AK53</f>
        <v/>
      </c>
      <c r="AE35" s="53" t="str">
        <f>'Calc Class'!AG53</f>
        <v/>
      </c>
      <c r="AF35" s="53" t="str">
        <f>'Calc Class'!AH53</f>
        <v/>
      </c>
      <c r="AG35" s="53" t="str">
        <f>'Calc Class'!AI53</f>
        <v/>
      </c>
      <c r="AH35" s="54" t="str">
        <f>'Calc Class'!AJ53</f>
        <v/>
      </c>
      <c r="AI35" s="55" t="e">
        <f t="shared" si="8"/>
        <v>#N/A</v>
      </c>
    </row>
    <row r="36" spans="2:35" x14ac:dyDescent="0.25">
      <c r="AB36" s="52" t="str">
        <f>'Calc Class'!AE54</f>
        <v/>
      </c>
      <c r="AC36" s="53" t="str">
        <f>'Calc Class'!AF54</f>
        <v/>
      </c>
      <c r="AD36" s="53" t="str">
        <f>'Calc Class'!AK54</f>
        <v/>
      </c>
      <c r="AE36" s="53" t="str">
        <f>'Calc Class'!AG54</f>
        <v/>
      </c>
      <c r="AF36" s="53" t="str">
        <f>'Calc Class'!AH54</f>
        <v/>
      </c>
      <c r="AG36" s="53" t="str">
        <f>'Calc Class'!AI54</f>
        <v/>
      </c>
      <c r="AH36" s="54" t="str">
        <f>'Calc Class'!AJ54</f>
        <v/>
      </c>
      <c r="AI36" s="55" t="e">
        <f t="shared" si="8"/>
        <v>#N/A</v>
      </c>
    </row>
    <row r="37" spans="2:35" x14ac:dyDescent="0.25">
      <c r="AB37" s="52" t="str">
        <f>'Calc Class'!AE55</f>
        <v/>
      </c>
      <c r="AC37" s="53" t="str">
        <f>'Calc Class'!AF55</f>
        <v/>
      </c>
      <c r="AD37" s="53" t="str">
        <f>'Calc Class'!AK55</f>
        <v/>
      </c>
      <c r="AE37" s="53" t="str">
        <f>'Calc Class'!AG55</f>
        <v/>
      </c>
      <c r="AF37" s="53" t="str">
        <f>'Calc Class'!AH55</f>
        <v/>
      </c>
      <c r="AG37" s="53" t="str">
        <f>'Calc Class'!AI55</f>
        <v/>
      </c>
      <c r="AH37" s="54" t="str">
        <f>'Calc Class'!AJ55</f>
        <v/>
      </c>
      <c r="AI37" s="55" t="e">
        <f t="shared" si="8"/>
        <v>#N/A</v>
      </c>
    </row>
    <row r="38" spans="2:35" x14ac:dyDescent="0.25">
      <c r="AB38" s="52" t="str">
        <f>'Calc Class'!AE56</f>
        <v/>
      </c>
      <c r="AC38" s="53" t="str">
        <f>'Calc Class'!AF56</f>
        <v/>
      </c>
      <c r="AD38" s="53" t="str">
        <f>'Calc Class'!AK56</f>
        <v/>
      </c>
      <c r="AE38" s="53" t="str">
        <f>'Calc Class'!AG56</f>
        <v/>
      </c>
      <c r="AF38" s="53" t="str">
        <f>'Calc Class'!AH56</f>
        <v/>
      </c>
      <c r="AG38" s="53" t="str">
        <f>'Calc Class'!AI56</f>
        <v/>
      </c>
      <c r="AH38" s="54" t="str">
        <f>'Calc Class'!AJ56</f>
        <v/>
      </c>
      <c r="AI38" s="55" t="e">
        <f t="shared" ref="AI38:AI39" si="9">VLOOKUP(AC38,ListePoule,2,0)</f>
        <v>#N/A</v>
      </c>
    </row>
    <row r="39" spans="2:35" ht="15.75" thickBot="1" x14ac:dyDescent="0.3">
      <c r="AB39" s="56" t="str">
        <f>'Calc Class'!AE57</f>
        <v/>
      </c>
      <c r="AC39" s="57" t="str">
        <f>'Calc Class'!AF57</f>
        <v/>
      </c>
      <c r="AD39" s="57" t="str">
        <f>'Calc Class'!AK57</f>
        <v/>
      </c>
      <c r="AE39" s="57" t="str">
        <f>'Calc Class'!AG57</f>
        <v/>
      </c>
      <c r="AF39" s="57" t="str">
        <f>'Calc Class'!AH57</f>
        <v/>
      </c>
      <c r="AG39" s="57" t="str">
        <f>'Calc Class'!AI57</f>
        <v/>
      </c>
      <c r="AH39" s="58" t="str">
        <f>'Calc Class'!AJ57</f>
        <v/>
      </c>
      <c r="AI39" s="59" t="e">
        <f t="shared" si="9"/>
        <v>#N/A</v>
      </c>
    </row>
  </sheetData>
  <sheetProtection algorithmName="SHA-512" hashValue="C8iupWHTQ0lqcrvxMXyun8cGJljNn2B637/PbgQmlqLcSQtGxhYNWLDj2Qd5AICtl0JPb4Kqxp7xLBXM52Hl1A==" saltValue="bURPYO0Xtk/I8ShYGisLaw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23</vt:i4>
      </vt:variant>
    </vt:vector>
  </HeadingPairs>
  <TitlesOfParts>
    <vt:vector size="34" baseType="lpstr">
      <vt:lpstr>INSCRIPTION DES JOUEURS</vt:lpstr>
      <vt:lpstr>FEUILLE DE RESULTATS</vt:lpstr>
      <vt:lpstr>CLASSEMENT FINAL</vt:lpstr>
      <vt:lpstr>RESULTAT FFBSPORTIF</vt:lpstr>
      <vt:lpstr>RAPPORT</vt:lpstr>
      <vt:lpstr>LISTES JOUEURS</vt:lpstr>
      <vt:lpstr>Feuil1</vt:lpstr>
      <vt:lpstr>Calc Inscription Joueurs</vt:lpstr>
      <vt:lpstr>Calc Feuille de résultats</vt:lpstr>
      <vt:lpstr>Calc Class</vt:lpstr>
      <vt:lpstr>Listing</vt:lpstr>
      <vt:lpstr>BandeN3</vt:lpstr>
      <vt:lpstr>BandeR1</vt:lpstr>
      <vt:lpstr>BandeR2</vt:lpstr>
      <vt:lpstr>CadreN3</vt:lpstr>
      <vt:lpstr>CadreR1</vt:lpstr>
      <vt:lpstr>LibreN3</vt:lpstr>
      <vt:lpstr>LibreR1</vt:lpstr>
      <vt:lpstr>LibreR2</vt:lpstr>
      <vt:lpstr>LibreR3</vt:lpstr>
      <vt:lpstr>LibreR4</vt:lpstr>
      <vt:lpstr>listeCategorie</vt:lpstr>
      <vt:lpstr>listeClubs</vt:lpstr>
      <vt:lpstr>ListeJoueursPrevu</vt:lpstr>
      <vt:lpstr>ListePoule</vt:lpstr>
      <vt:lpstr>Poule</vt:lpstr>
      <vt:lpstr>TabBandeN3</vt:lpstr>
      <vt:lpstr>TabDistance</vt:lpstr>
      <vt:lpstr>TabLibreN3</vt:lpstr>
      <vt:lpstr>TabLibreR1</vt:lpstr>
      <vt:lpstr>TabLibreR2</vt:lpstr>
      <vt:lpstr>TroisBandesN3</vt:lpstr>
      <vt:lpstr>TroisBandesR1</vt:lpstr>
      <vt:lpstr>TroisBandesR2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2021-09-21T08:02:42Z</cp:lastPrinted>
  <dcterms:created xsi:type="dcterms:W3CDTF">2018-01-30T19:30:51Z</dcterms:created>
  <dcterms:modified xsi:type="dcterms:W3CDTF">2025-09-23T05:02:34Z</dcterms:modified>
</cp:coreProperties>
</file>